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870" windowWidth="15060" windowHeight="11715" tabRatio="881" activeTab="0"/>
  </bookViews>
  <sheets>
    <sheet name="проект" sheetId="1" r:id="rId1"/>
    <sheet name="дефицит" sheetId="2" r:id="rId2"/>
    <sheet name="221 расч." sheetId="3" r:id="rId3"/>
    <sheet name="223 статья" sheetId="4" r:id="rId4"/>
    <sheet name="212 пособ." sheetId="5" r:id="rId5"/>
    <sheet name="обмундир с 6 лет" sheetId="6" r:id="rId6"/>
    <sheet name="обмундир с 3 до 6" sheetId="7" r:id="rId7"/>
    <sheet name="картриджи" sheetId="8" r:id="rId8"/>
    <sheet name="спецодежда 340" sheetId="9" r:id="rId9"/>
    <sheet name="пит дошкольники " sheetId="10" r:id="rId10"/>
    <sheet name="пит школьники" sheetId="11" r:id="rId11"/>
    <sheet name="посуда 340" sheetId="12" r:id="rId12"/>
    <sheet name="340 медик." sheetId="13" r:id="rId13"/>
    <sheet name="340 гсм" sheetId="14" r:id="rId14"/>
    <sheet name="340 моющие сред" sheetId="15" r:id="rId15"/>
    <sheet name="хоз товары" sheetId="16" r:id="rId16"/>
    <sheet name="строит.материалы 340" sheetId="17" r:id="rId17"/>
    <sheet name="340 канц., хоз." sheetId="18" r:id="rId18"/>
    <sheet name="запчасти 340" sheetId="19" r:id="rId19"/>
    <sheet name="Выпускники" sheetId="20" r:id="rId20"/>
    <sheet name="времен передача" sheetId="21" r:id="rId21"/>
    <sheet name="личн расходы" sheetId="22" r:id="rId22"/>
    <sheet name="страхование" sheetId="23" r:id="rId23"/>
    <sheet name="Лист1" sheetId="24" r:id="rId24"/>
    <sheet name="ртуть" sheetId="25" r:id="rId25"/>
  </sheets>
  <definedNames>
    <definedName name="_xlnm.Print_Titles" localSheetId="1">'дефицит'!$4:$7</definedName>
    <definedName name="_xlnm.Print_Titles" localSheetId="0">'проект'!$8:$11</definedName>
    <definedName name="_xlnm.Print_Area" localSheetId="2">'221 расч.'!$C$1:$R$13</definedName>
    <definedName name="_xlnm.Print_Area" localSheetId="13">'340 гсм'!$A$1:$L$47</definedName>
    <definedName name="_xlnm.Print_Area" localSheetId="17">'340 канц., хоз.'!$A$1:$F$60</definedName>
    <definedName name="_xlnm.Print_Area" localSheetId="12">'340 медик.'!$A$1:$F$119</definedName>
    <definedName name="_xlnm.Print_Area" localSheetId="14">'340 моющие сред'!#REF!</definedName>
    <definedName name="_xlnm.Print_Area" localSheetId="1">'дефицит'!$A$1:$N$408</definedName>
    <definedName name="_xlnm.Print_Area" localSheetId="18">'запчасти 340'!$A$1:$F$44</definedName>
    <definedName name="_xlnm.Print_Area" localSheetId="7">'картриджи'!$A$1:$G$17</definedName>
    <definedName name="_xlnm.Print_Area" localSheetId="0">'проект'!$A$1:$O$368</definedName>
  </definedNames>
  <calcPr fullCalcOnLoad="1"/>
</workbook>
</file>

<file path=xl/comments1.xml><?xml version="1.0" encoding="utf-8"?>
<comments xmlns="http://schemas.openxmlformats.org/spreadsheetml/2006/main">
  <authors>
    <author>evdokimova</author>
  </authors>
  <commentList>
    <comment ref="N45" authorId="0">
      <text>
        <r>
          <rPr>
            <b/>
            <sz val="9"/>
            <rFont val="Tahoma"/>
            <family val="2"/>
          </rPr>
          <t>нет расчета. можно здесь
расчет приложен</t>
        </r>
      </text>
    </comment>
    <comment ref="E100" authorId="0">
      <text>
        <r>
          <rPr>
            <b/>
            <sz val="9"/>
            <rFont val="Tahoma"/>
            <family val="2"/>
          </rPr>
          <t>проверьте периодичность: каждый год, так как здание большое</t>
        </r>
      </text>
    </comment>
    <comment ref="E229" authorId="0">
      <text>
        <r>
          <rPr>
            <b/>
            <sz val="9"/>
            <rFont val="Tahoma"/>
            <family val="2"/>
          </rPr>
          <t>в расчете кол-во детей не отходит с планом комплектования</t>
        </r>
        <r>
          <rPr>
            <sz val="9"/>
            <rFont val="Tahoma"/>
            <family val="2"/>
          </rPr>
          <t xml:space="preserve">
</t>
        </r>
      </text>
    </comment>
    <comment ref="E278" authorId="0">
      <text>
        <r>
          <rPr>
            <b/>
            <sz val="9"/>
            <rFont val="Tahoma"/>
            <family val="2"/>
          </rPr>
          <t>нет расчета вкладки</t>
        </r>
        <r>
          <rPr>
            <sz val="9"/>
            <rFont val="Tahoma"/>
            <family val="2"/>
          </rPr>
          <t xml:space="preserve">
- добавлена
</t>
        </r>
      </text>
    </comment>
  </commentList>
</comments>
</file>

<file path=xl/comments4.xml><?xml version="1.0" encoding="utf-8"?>
<comments xmlns="http://schemas.openxmlformats.org/spreadsheetml/2006/main">
  <authors>
    <author>evdokimova</author>
  </authors>
  <commentList>
    <comment ref="B26" authorId="0">
      <text>
        <r>
          <rPr>
            <b/>
            <sz val="9"/>
            <rFont val="Tahoma"/>
            <family val="2"/>
          </rPr>
          <t>Объемы второго полугодия 2018 проставляем по факту 2016</t>
        </r>
        <r>
          <rPr>
            <sz val="9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rFont val="Tahoma"/>
            <family val="2"/>
          </rPr>
          <t>разбить объемы по сч/ф</t>
        </r>
        <r>
          <rPr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b/>
            <sz val="9"/>
            <rFont val="Tahoma"/>
            <family val="2"/>
          </rPr>
          <t>проверьте тариф (с июля должен быть одинаковый на все второе полугодие)</t>
        </r>
        <r>
          <rPr>
            <sz val="9"/>
            <rFont val="Tahoma"/>
            <family val="2"/>
          </rPr>
          <t xml:space="preserve">
</t>
        </r>
      </text>
    </comment>
    <comment ref="L95" authorId="0">
      <text>
        <r>
          <rPr>
            <b/>
            <sz val="9"/>
            <rFont val="Tahoma"/>
            <family val="2"/>
          </rPr>
          <t>проверьте тариф, должен расти со второго полугодия</t>
        </r>
        <r>
          <rPr>
            <sz val="9"/>
            <rFont val="Tahoma"/>
            <family val="2"/>
          </rPr>
          <t xml:space="preserve">
</t>
        </r>
      </text>
    </comment>
    <comment ref="P96" authorId="0">
      <text>
        <r>
          <rPr>
            <b/>
            <sz val="9"/>
            <rFont val="Tahoma"/>
            <family val="2"/>
          </rPr>
          <t>проверьте тариф, должен расти со второго полугодия</t>
        </r>
        <r>
          <rPr>
            <sz val="9"/>
            <rFont val="Tahoma"/>
            <family val="2"/>
          </rPr>
          <t xml:space="preserve">
</t>
        </r>
      </text>
    </comment>
    <comment ref="P100" authorId="0">
      <text>
        <r>
          <rPr>
            <b/>
            <sz val="9"/>
            <rFont val="Tahoma"/>
            <family val="2"/>
          </rPr>
          <t>проверьте тариф, должен расти со второго полугодия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evdokimova</author>
  </authors>
  <commentList>
    <comment ref="F11" authorId="0">
      <text>
        <r>
          <rPr>
            <b/>
            <sz val="9"/>
            <rFont val="Tahoma"/>
            <family val="2"/>
          </rPr>
          <t>по плану комплектования 20</t>
        </r>
      </text>
    </comment>
    <comment ref="F50" authorId="0">
      <text>
        <r>
          <rPr>
            <b/>
            <sz val="9"/>
            <rFont val="Tahoma"/>
            <family val="2"/>
          </rPr>
          <t>по плану комплектования 12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<sst xmlns="http://schemas.openxmlformats.org/spreadsheetml/2006/main" count="2901" uniqueCount="1200">
  <si>
    <t>Тех.обслуживание счетчиков</t>
  </si>
  <si>
    <t>Оплата за оказание банно-прачечных услуг</t>
  </si>
  <si>
    <t>Наименование</t>
  </si>
  <si>
    <t>Подстатья 211 "Заработная плата"</t>
  </si>
  <si>
    <t>Фонд оплаты труда согласно штатному расписанию</t>
  </si>
  <si>
    <t>Подстатья 212 "Прочие выплаты"</t>
  </si>
  <si>
    <t>Расходы на суточные по командировкам и курсам повышения квалификации:</t>
  </si>
  <si>
    <t>Компенсация расходов, связанных с переездом из районов Крайнего Севера:</t>
  </si>
  <si>
    <t>Итого по подстатье 212:</t>
  </si>
  <si>
    <t>Подстатья 221 "Услуги связи"</t>
  </si>
  <si>
    <t>Расходы на местное телефонное соединение:</t>
  </si>
  <si>
    <t>Расходы на междугородние телефонные соединения:</t>
  </si>
  <si>
    <t>повременная оплата:</t>
  </si>
  <si>
    <t xml:space="preserve">абонентская плата за осн.телефоны: </t>
  </si>
  <si>
    <t xml:space="preserve">абонентская плата за доп.телефоны: </t>
  </si>
  <si>
    <t xml:space="preserve">тех.обслуживание: </t>
  </si>
  <si>
    <t xml:space="preserve">абонентская плата за пр.провод 2-х проводный (транзит): </t>
  </si>
  <si>
    <t xml:space="preserve">абонентская плата за внутр. миниАТС: </t>
  </si>
  <si>
    <t>ст-ть, руб. * 12 мес.</t>
  </si>
  <si>
    <t>тариф, руб. * кол-во минут в год</t>
  </si>
  <si>
    <t>тариф, руб. * кол-во телеф. *12 мес.</t>
  </si>
  <si>
    <t>Оплата за почтовые конверты:</t>
  </si>
  <si>
    <t>ст-ть, руб. * кол-во шт.</t>
  </si>
  <si>
    <t>Оплата за почтовые марки:</t>
  </si>
  <si>
    <t>Оплата за пересылку почтовых отправлений (посылок, бандеролей):</t>
  </si>
  <si>
    <t>ст-ть, руб. * кол-во кг (шт.)</t>
  </si>
  <si>
    <t>Курьерские услуги:</t>
  </si>
  <si>
    <t>ст-ть, руб. * кол-во заказов</t>
  </si>
  <si>
    <t>Оплата за установку телефонов:</t>
  </si>
  <si>
    <t>ст-ть, руб. * кол-во телефонов</t>
  </si>
  <si>
    <t>Оплата за почтовые переводы заработной платы работников:</t>
  </si>
  <si>
    <t>Подстатья 222 "Транспортные услуги"</t>
  </si>
  <si>
    <t>Расходы на проезд по командировкам и курсам повышения квалификации:</t>
  </si>
  <si>
    <t>ст-ть, руб. * кол-во часов * 12 мес.</t>
  </si>
  <si>
    <t>Подстатья 223 "Коммунальные услуги"</t>
  </si>
  <si>
    <t>Теплоэнергия в горячей воде:</t>
  </si>
  <si>
    <t>Теплоносители в горячей воде:</t>
  </si>
  <si>
    <t>тариф, руб. * Гкал</t>
  </si>
  <si>
    <t>тариф, руб. * т</t>
  </si>
  <si>
    <t>Электроэнергия:</t>
  </si>
  <si>
    <t>Водоснабжение:</t>
  </si>
  <si>
    <t>тариф, руб. * куб.м.</t>
  </si>
  <si>
    <t>Канализация:</t>
  </si>
  <si>
    <t>Ассенизация:</t>
  </si>
  <si>
    <t>Подстатья 224 "Арендная плата за пользование имуществом"</t>
  </si>
  <si>
    <t>ст-ть, руб. * площадь, кв.м.</t>
  </si>
  <si>
    <t>ст-ть, руб. * куб.м.</t>
  </si>
  <si>
    <t>Вывоз снега:</t>
  </si>
  <si>
    <t>Газация складов, теплиц:</t>
  </si>
  <si>
    <t>ст-ть, руб. * кол-во раз * число помещений</t>
  </si>
  <si>
    <t>Мойка транспорта:</t>
  </si>
  <si>
    <t>ст-ть, руб. * кол-во раз * кол-во машин</t>
  </si>
  <si>
    <t>Химчистка мягкой мебели:</t>
  </si>
  <si>
    <t>ст-ть, руб. * кол-во комплектов</t>
  </si>
  <si>
    <t>Химчистка жалюзи:</t>
  </si>
  <si>
    <t>ст-ть, руб. * кв.м.</t>
  </si>
  <si>
    <t>ст-ть, руб. * кв.м. * кол-во раз</t>
  </si>
  <si>
    <t>Промывка, опрессовка системы отопления:</t>
  </si>
  <si>
    <t>Замеры сопротивления изоляции электрической сети:</t>
  </si>
  <si>
    <t>ст-ть согласно локальной смете</t>
  </si>
  <si>
    <t>ст-ть согласно договору</t>
  </si>
  <si>
    <t>ст-ть, руб. * кол-во машин</t>
  </si>
  <si>
    <t>ст-ть, руб. * кол-во машин * кол-во раз</t>
  </si>
  <si>
    <t>Тех.обслуживание электроосветительной системы:</t>
  </si>
  <si>
    <t>Химчистка мягкого инвентаря, спецодежды:</t>
  </si>
  <si>
    <t>Инструментальный контроль:</t>
  </si>
  <si>
    <t>Расходы на оплату труда лиц по договорам гражданско-правового характера:</t>
  </si>
  <si>
    <t>Оплата проезда к месту отдыха и обратно лицам, работающим в районах Крайнего Севера и приравненным к ним местностям, а также неработающим членам их семей:</t>
  </si>
  <si>
    <t>ст-ть проезда, руб. * кол-во чел. + ст-ть провоза багажа, руб.</t>
  </si>
  <si>
    <t>Ежемесячное пособие на ребенка лицам, состоящим в трудовых отношениях:</t>
  </si>
  <si>
    <t>65,0 руб. * 12 мес. * кол-во чел.</t>
  </si>
  <si>
    <t>ремонт швейных машин</t>
  </si>
  <si>
    <t>ремонт мебели (столов, стульев и т.д.)</t>
  </si>
  <si>
    <t>мытье окон</t>
  </si>
  <si>
    <t>чистка ковровых изделий</t>
  </si>
  <si>
    <t>настройка и ремонт музыкальных инструментов</t>
  </si>
  <si>
    <t>ремонт снаряжения (лодок, палаток)</t>
  </si>
  <si>
    <t>ремонт автотранспорта</t>
  </si>
  <si>
    <t>уборка снега с крыши зданий</t>
  </si>
  <si>
    <t>чистка канализационных колодцев</t>
  </si>
  <si>
    <t>сварочные работы</t>
  </si>
  <si>
    <t>прочее</t>
  </si>
  <si>
    <t>приложить отдельно расчеты на каждый вид работы</t>
  </si>
  <si>
    <t>Тех.обслуживание светильников наружного освещения:</t>
  </si>
  <si>
    <t>ст-ть, руб. * кол-во, шт. * кол-во раз</t>
  </si>
  <si>
    <t>Оплата договоров на обязат. страхование гражданской ответственности владельцев транспортных средств:</t>
  </si>
  <si>
    <t>Расходы на проживание по командировкам и курсам повышения квалификации:</t>
  </si>
  <si>
    <t>ст-ть, руб. * кол-во чел. * кол-во раз</t>
  </si>
  <si>
    <t>ст-ть, руб. * кол-во чел.</t>
  </si>
  <si>
    <t>Техническое обслуживание охранной сигнализации:</t>
  </si>
  <si>
    <t>Оплата договоров по вневедомственной охране:</t>
  </si>
  <si>
    <t>ст-ть согласно калькуляции</t>
  </si>
  <si>
    <t>Оплата за обслуживание средств тревожной сигнализации (тревожной кнопки):</t>
  </si>
  <si>
    <t>Техническое обслуживание пожарной сигнализации:</t>
  </si>
  <si>
    <t>приложить перечень мероприятий с указанием сумм по каждому</t>
  </si>
  <si>
    <t>Оплата за мед.осмотр работников:</t>
  </si>
  <si>
    <t>Оплата за санитарно-гигиеническое обучение работников:</t>
  </si>
  <si>
    <t>Оплата экскурсий:</t>
  </si>
  <si>
    <t xml:space="preserve">Плата за сопровождение кассира с деньгами и документами: </t>
  </si>
  <si>
    <t>Оплата за изготовление технического паспорта здания</t>
  </si>
  <si>
    <t>Оплата за изготовление энергетического паспорта</t>
  </si>
  <si>
    <t>Оплата за изготовление санитарного паспорта</t>
  </si>
  <si>
    <t>Оплата за присвоение кадастровых номеров</t>
  </si>
  <si>
    <t>Оплата за услуги по составлению акта раздела границ</t>
  </si>
  <si>
    <t>Оплата за обследование трассы водопровода</t>
  </si>
  <si>
    <t>Оплата за приемку в эксплуатацию приборов учета</t>
  </si>
  <si>
    <t>ст-ть согласно прайсу</t>
  </si>
  <si>
    <t>Оплата услуг консультационных пунктов по юридическим и налоговым вопросам, по вопросам бухгалтерского учета:</t>
  </si>
  <si>
    <t>ст-ть, руб. * кол-во час.</t>
  </si>
  <si>
    <t>Оплата расходов на оказание нотариальных услуг:</t>
  </si>
  <si>
    <t>Оплата за рассмотрение материалов и оформление заключения на получение разрешения на захоронение отходов</t>
  </si>
  <si>
    <t>ст-ть, руб. * кв.см.</t>
  </si>
  <si>
    <t>ст-ть, руб. * кол-во фотографий, шт.</t>
  </si>
  <si>
    <t>Оплата за типографские услуги:</t>
  </si>
  <si>
    <t>Оплата за фотографирование детей-сирот:</t>
  </si>
  <si>
    <t>ст-ть, руб. * кол-во экземпляров</t>
  </si>
  <si>
    <t>Оплата за обслуживание информационной базы (н-р, Консультант +):</t>
  </si>
  <si>
    <t>Зооэнтомологическая оценка уровня численности клещей</t>
  </si>
  <si>
    <t>Оплата дезинфекции автомашины:</t>
  </si>
  <si>
    <t>Обучение по программе техминимума по правилам дорожного движения</t>
  </si>
  <si>
    <t>Оплата за услуги по оценке рыночной стоимости автомобиля</t>
  </si>
  <si>
    <t>Расходы на оформление паспортов детей-сирот:</t>
  </si>
  <si>
    <t>оплата мед.работнику за обслуживание на турслетах, соревнованиях:</t>
  </si>
  <si>
    <t>оформление выставок:</t>
  </si>
  <si>
    <t>оплата за переплет документов:</t>
  </si>
  <si>
    <t>оплата за погрузочно-разгрузочные работы:</t>
  </si>
  <si>
    <t>проведение проверки автотранспорта на токсичность выбросов:</t>
  </si>
  <si>
    <t>Оплата за обрезку деревьев:</t>
  </si>
  <si>
    <t>погрузка, разгрузка, доставка, распиловка, колка и укладка дров:</t>
  </si>
  <si>
    <t>Подстатья 262 "Пособия по социальной помощи населению"</t>
  </si>
  <si>
    <t xml:space="preserve">сумма, руб. * кол-во чел. </t>
  </si>
  <si>
    <t>ст-ть проезда, руб. * кол-во чел. * 115 дней</t>
  </si>
  <si>
    <t>пошив штор:</t>
  </si>
  <si>
    <t>прочее:</t>
  </si>
  <si>
    <t>ст-ть на полугодие, руб. * 2</t>
  </si>
  <si>
    <t>Расходы на приобретение справочной литературы:</t>
  </si>
  <si>
    <t>ст-ть, руб. * кол-во, шт.</t>
  </si>
  <si>
    <t>Расходы на уплату сборов за тех.осмотр автотранспорта:</t>
  </si>
  <si>
    <t>ст-ть, руб. * кол-во, ед.</t>
  </si>
  <si>
    <t>Статья 290 "Прочие расходы"</t>
  </si>
  <si>
    <t>Расходы на приобретение одежды, обуви для воспитанников, обучающихся из числа детей-сирот:</t>
  </si>
  <si>
    <t>Расходы на приобретение постельных принадлежностей:</t>
  </si>
  <si>
    <t>Расходы на приобретение обмундирования кадет:</t>
  </si>
  <si>
    <t>Расходы на приобретение обмундирования воспитанниц Мариинских женских гимназий:</t>
  </si>
  <si>
    <t>Итого по подстатье 221:</t>
  </si>
  <si>
    <t>Итого по подстатье 222:</t>
  </si>
  <si>
    <t>Итого по подстатье 223:</t>
  </si>
  <si>
    <t>Итого по подстатье 225:</t>
  </si>
  <si>
    <t>Аренда гаража:</t>
  </si>
  <si>
    <t>Итого по подстатье 224:</t>
  </si>
  <si>
    <t>Итого по подстатье 226:</t>
  </si>
  <si>
    <t>Итого по подстатье 262:</t>
  </si>
  <si>
    <t>Итого по подстатье 290:</t>
  </si>
  <si>
    <t>Расходы на приобретение обмундирования офицеров-воспитателей кадетских учреждений:</t>
  </si>
  <si>
    <t>Расходы на приобретение спецодежды для обслуживающего персонала:</t>
  </si>
  <si>
    <t>расчет согласно приложению</t>
  </si>
  <si>
    <t>приложить свой расчет</t>
  </si>
  <si>
    <t>Приобретение посуды:</t>
  </si>
  <si>
    <t>Приобретение концертных костюмов, концертной обуви:</t>
  </si>
  <si>
    <t>Подстатья 340 "Увеличение стоимости материальных запасов"</t>
  </si>
  <si>
    <t>Расходы на приобретение медикаментов, перевязочных средств:</t>
  </si>
  <si>
    <t>школьн.возраста</t>
  </si>
  <si>
    <t>усиление питания в выходные, праздничные и каникулярные дни</t>
  </si>
  <si>
    <t>дошкольн.возраста</t>
  </si>
  <si>
    <t>10-13 лет</t>
  </si>
  <si>
    <t>14-17 лет</t>
  </si>
  <si>
    <t>10-13 лет полный пансион</t>
  </si>
  <si>
    <t>14-17 лет полный пансион</t>
  </si>
  <si>
    <t>10-13 лет неполный пансион</t>
  </si>
  <si>
    <t>14-17 лет неполный пансион</t>
  </si>
  <si>
    <t>Расходы на приобретение ГСМ:</t>
  </si>
  <si>
    <t>бензин АИ-76(80)</t>
  </si>
  <si>
    <t>бензин АИ-92(93)</t>
  </si>
  <si>
    <t>бензин АИ-95</t>
  </si>
  <si>
    <t>топливо дизельное</t>
  </si>
  <si>
    <t>масло моторное</t>
  </si>
  <si>
    <t>масло трансмиссионное</t>
  </si>
  <si>
    <t>специальные масла и жидкости</t>
  </si>
  <si>
    <t>пластичные смазки</t>
  </si>
  <si>
    <t>Приобретение моющих средств:</t>
  </si>
  <si>
    <t>моющие средства для кухонной посуды, инвентаря</t>
  </si>
  <si>
    <t>мыло для мытья рук адм.-хоз.и  мед.персонала</t>
  </si>
  <si>
    <t>мыло для мытья в бане и для туалета для детей</t>
  </si>
  <si>
    <t>мыло на уборку помещений</t>
  </si>
  <si>
    <t>мыло, порошок для стирки белья</t>
  </si>
  <si>
    <t>туалетная бумага для детей</t>
  </si>
  <si>
    <t>Приобретение средств личной гигиены для учащихся, воспитанников, проживающих в учреждениях:</t>
  </si>
  <si>
    <t>приложить свой расчет товаров первой необходимости</t>
  </si>
  <si>
    <t>Канцелярские расходы:</t>
  </si>
  <si>
    <t>бумага для принтеров, множительной техники</t>
  </si>
  <si>
    <t>ст-ть, руб. * кол-во, пач.</t>
  </si>
  <si>
    <t>рулонная бумага</t>
  </si>
  <si>
    <t>ст-ть, руб. * кол-во, рул.</t>
  </si>
  <si>
    <t>бумага для факсовых аппаратов</t>
  </si>
  <si>
    <t>папка-регистратор</t>
  </si>
  <si>
    <t>папка для составления каталогов с прозрачными вкладышами</t>
  </si>
  <si>
    <t>скоросшиватели картонные "Дело"</t>
  </si>
  <si>
    <t>скоросшиватели пластиковые</t>
  </si>
  <si>
    <t>файлы</t>
  </si>
  <si>
    <t>письменные, школьные принадлежности для детей</t>
  </si>
  <si>
    <t>письменные принадлежности, офисная канцелярия для работников</t>
  </si>
  <si>
    <t>Приобретение картриджей, тонеров для принтеров, копировальной техники</t>
  </si>
  <si>
    <t>Приобретение автошин:</t>
  </si>
  <si>
    <t>Приобретение аккумуляторных батарей для автотранспорта:</t>
  </si>
  <si>
    <t>Приобретение прочих зап.частей для транспорта:</t>
  </si>
  <si>
    <t>Расходы на приобретение электротехнической продукции:</t>
  </si>
  <si>
    <t>Приобретение медицинских аптечек:</t>
  </si>
  <si>
    <t>Покупка животных, рыб, птиц (кроме продуктивного и рабочего скота)</t>
  </si>
  <si>
    <t>Приобретение кормов для животных, рыб, птиц:</t>
  </si>
  <si>
    <t>сено</t>
  </si>
  <si>
    <t>овощи</t>
  </si>
  <si>
    <t>семена овощных культур</t>
  </si>
  <si>
    <t>семена цветочные</t>
  </si>
  <si>
    <t>ст-ть, руб.*  кол-во, пач.</t>
  </si>
  <si>
    <t>минеральные удобрения</t>
  </si>
  <si>
    <t>органические удобрения</t>
  </si>
  <si>
    <t>ст-ть, руб. * кол-во, кг</t>
  </si>
  <si>
    <t>Расходы на приобретение семян, удобрений, средств защиты растений:</t>
  </si>
  <si>
    <t>корм для рыб</t>
  </si>
  <si>
    <t>корм для птиц</t>
  </si>
  <si>
    <t>Приобретение принадлежностей для содержания животных:</t>
  </si>
  <si>
    <t>витамины для животных, птиц</t>
  </si>
  <si>
    <t>рыба, мясоотходы</t>
  </si>
  <si>
    <t>крупы</t>
  </si>
  <si>
    <t>ст-ть, руб. *  кол-во, кг</t>
  </si>
  <si>
    <t>Расходы на приобретение реактивов, химпосуды:</t>
  </si>
  <si>
    <t>Приобретение игр, игрушек</t>
  </si>
  <si>
    <t>игры</t>
  </si>
  <si>
    <t>игрушки</t>
  </si>
  <si>
    <t>картофель</t>
  </si>
  <si>
    <t>Приобретение методических пособий (не для библиотечного фонда):</t>
  </si>
  <si>
    <t>Приобретение зачетных книжек для студентов, обучающихся на платной основе:</t>
  </si>
  <si>
    <t>Приобретение котельно-печного топлива:</t>
  </si>
  <si>
    <t>уголь</t>
  </si>
  <si>
    <t>ст-ть, руб. * кол-во, т</t>
  </si>
  <si>
    <t>дрова</t>
  </si>
  <si>
    <t>ст-ть, руб. * кол-во, куб.м.</t>
  </si>
  <si>
    <t>Аренда спортсооружений:</t>
  </si>
  <si>
    <t>приложить перечень с расчетом</t>
  </si>
  <si>
    <t>Аренда прочих помещений:</t>
  </si>
  <si>
    <t>мука фуражная</t>
  </si>
  <si>
    <t>лизунец</t>
  </si>
  <si>
    <t>комбикорм</t>
  </si>
  <si>
    <t>приложить расчет</t>
  </si>
  <si>
    <t>Форму отчета не изменять, строки не удалять, дополнительные строки не вводить!!!</t>
  </si>
  <si>
    <t>Гос.пошлина за гос.регистрацию трансп.средств с выдачей гос.регистрацион.знаков на трансп.средства:</t>
  </si>
  <si>
    <t>Гос.пошлина за гос.регистрацию трансп.средств с выдачей паспорта трансп.средства:</t>
  </si>
  <si>
    <t>Гос.пошлина за гос.регистрацию трансп.средств с выдачей свидетельства о регистрации трансп.средства:</t>
  </si>
  <si>
    <t>Прочее</t>
  </si>
  <si>
    <t>Гос.пошлина за перерегистрацию Устава, внесение изменений в Устав:</t>
  </si>
  <si>
    <t>Гос.пошлина за гос.регистрацию прав на недвижимое имущество:</t>
  </si>
  <si>
    <t>Гос.пошлина за предоставление лицензии:</t>
  </si>
  <si>
    <t>Гос.пошлина за переоформление документа, подтверждающего наличие лицензии:</t>
  </si>
  <si>
    <t>для хозяйственных целей</t>
  </si>
  <si>
    <t>Стирка мягкого инвентаря, спецодежды:</t>
  </si>
  <si>
    <t>ст-ть, руб. * кг * кол-во раз</t>
  </si>
  <si>
    <t>Тех.обслуживание и содержание лифтового оборудования:</t>
  </si>
  <si>
    <t>Итого по подстатье 340:</t>
  </si>
  <si>
    <t>приложить расчеты на каждый вид работы</t>
  </si>
  <si>
    <t>позирование на уроках художественно-графического отделения</t>
  </si>
  <si>
    <t>Тех.обслуживание узла учета тепловой энергии:</t>
  </si>
  <si>
    <t>программа WinAC</t>
  </si>
  <si>
    <t>программа 1С Бухгалтерия</t>
  </si>
  <si>
    <t>программа 1С  КАДРЫ</t>
  </si>
  <si>
    <t>приложить перечень с указанием годовых сумм</t>
  </si>
  <si>
    <t>Налог за загрязнение окружающей среды:</t>
  </si>
  <si>
    <t>Оплата за разработку нормативов образования отходов и лимитов на их размещение:</t>
  </si>
  <si>
    <t>приложить расчет (место назначения, кол-во человек, стоимость проезда)</t>
  </si>
  <si>
    <t>Оплата банковских услуг по перечислению заработной платы:</t>
  </si>
  <si>
    <t xml:space="preserve"> руб. * кол-во чел.</t>
  </si>
  <si>
    <t xml:space="preserve"> руб. * кол-во мест</t>
  </si>
  <si>
    <t xml:space="preserve"> руб. *  дней * кол-во чел.</t>
  </si>
  <si>
    <t xml:space="preserve"> руб. * число дней * кол-во чел. * 10%</t>
  </si>
  <si>
    <t xml:space="preserve"> руб. * число дней * кол-во чел.</t>
  </si>
  <si>
    <t xml:space="preserve"> руб. * кол-во детей, чел.</t>
  </si>
  <si>
    <t xml:space="preserve"> руб. *  л * повыш.коэф. * 12 мес. * кол-во ед.</t>
  </si>
  <si>
    <t xml:space="preserve"> руб. *  л * мес.*кол-во ед.</t>
  </si>
  <si>
    <t xml:space="preserve"> руб. * кол-во л * 2,1 л /100 * кол-во ед.</t>
  </si>
  <si>
    <t xml:space="preserve"> руб. * кол-во л * 0,3 л /100 * кол-во ед.</t>
  </si>
  <si>
    <t xml:space="preserve"> руб. * кол-во л * 0,1 л /100 * кол-во ед.</t>
  </si>
  <si>
    <t xml:space="preserve"> руб. * кол-во л * 0,1 кг /100 * кол-во ед.</t>
  </si>
  <si>
    <t xml:space="preserve"> руб. * кол-во питающихся детей</t>
  </si>
  <si>
    <t xml:space="preserve"> руб. * убираемая площадь, кв.м.</t>
  </si>
  <si>
    <t xml:space="preserve"> руб. * кол-во белья, кг</t>
  </si>
  <si>
    <t>ст-ть минуты * мин. * кол-во телеф. * 12 мес.</t>
  </si>
  <si>
    <t>пункт назначения, кол-во чел.* число командировок * стоимость проезда</t>
  </si>
  <si>
    <t>наименование, цена* кол-во</t>
  </si>
  <si>
    <t>Оплата за услуги за пользование средствами механизации для погрузки и выгрузки имущества, вагонами, контейнерами сверх допустимого времени погрузки (выгрузки)</t>
  </si>
  <si>
    <t>ст-ть проезда, руб. * кол-во студентов, чел.</t>
  </si>
  <si>
    <t>Оплата за выдачу подробной расшифровки МТС</t>
  </si>
  <si>
    <t>внести перечень расходов с указанием суммы по каждой группе расходов</t>
  </si>
  <si>
    <t>бюджет</t>
  </si>
  <si>
    <t>Тех.обслуживание вентиляционных установок:</t>
  </si>
  <si>
    <t>прочие программы</t>
  </si>
  <si>
    <t>Метод расчета</t>
  </si>
  <si>
    <t>Сумма, руб.</t>
  </si>
  <si>
    <t>Расходы на приобретение мягкого инвентаря и обмундирования, в том числе</t>
  </si>
  <si>
    <t>Расходы на питание детей-сирот, в том числе</t>
  </si>
  <si>
    <t>Расходы на питание воспитанниц Мариинских женских гимназий, в том числе</t>
  </si>
  <si>
    <t>Расходы на питание воспитанников кадетских школ-интернатов, в том числе</t>
  </si>
  <si>
    <t>Расходы на питание учащихся, воспитанников коррекционных учреждений, в том числе</t>
  </si>
  <si>
    <t>Приобретение ткани</t>
  </si>
  <si>
    <t>Приобретение изделий хоз.-бытового назначения</t>
  </si>
  <si>
    <t>Товары бытовой химии</t>
  </si>
  <si>
    <t>Стройматериалы</t>
  </si>
  <si>
    <t>№</t>
  </si>
  <si>
    <t>Всего</t>
  </si>
  <si>
    <t>Расчет на каждый год</t>
  </si>
  <si>
    <t>Типографские изделия</t>
  </si>
  <si>
    <t>лимит с учетом дефлятора</t>
  </si>
  <si>
    <t xml:space="preserve"> лимит</t>
  </si>
  <si>
    <t>Поверка весов</t>
  </si>
  <si>
    <t>Оплата парикмахерских услуг</t>
  </si>
  <si>
    <t>Оплата стоянки автотранспорта</t>
  </si>
  <si>
    <t>Приобретение швейной фурнитуры</t>
  </si>
  <si>
    <t>Страхование от клещевого энцефалита детей-сирот</t>
  </si>
  <si>
    <t>оплата за рецензирование выпускных работ, гос.аттестацию, приемную комиссию</t>
  </si>
  <si>
    <t>тариф, руб. *12 мес.</t>
  </si>
  <si>
    <t>Оплата за посещение бассейна, цирка, кинотеатров и т.д.</t>
  </si>
  <si>
    <t>Оплата за демеркуризацию отработанных ртутьсодержащих ламп</t>
  </si>
  <si>
    <t>Приобретение аксессуаров к форменному обмундированию кадет</t>
  </si>
  <si>
    <t>Приобретение воды питьевой для кулеров</t>
  </si>
  <si>
    <t>Оплата за мерзлотно-технический надзор за состоянием зданий</t>
  </si>
  <si>
    <t>проведение семинаров</t>
  </si>
  <si>
    <t>Оплата за мед.осмотр студентов, направляемых на педагогическую практику:</t>
  </si>
  <si>
    <t>ст-ть, руб. * кол-во, чел.</t>
  </si>
  <si>
    <t>ст-ть, руб. * кол-во, чел. * кол-во раз</t>
  </si>
  <si>
    <t>50,0 руб. * кол-во, чел. * 12 мес.;
100,0 руб. * кол-во, чел. * 12 мес.</t>
  </si>
  <si>
    <t>Аварийное обслуживание инженерных систем</t>
  </si>
  <si>
    <t>Прочие расходные материалы, относящиеся к средствам автоматизации</t>
  </si>
  <si>
    <t>Инструменты (кроме электроинструментов)</t>
  </si>
  <si>
    <t>Садово-огородный инвентарь</t>
  </si>
  <si>
    <t>Противопожарный инвентарь</t>
  </si>
  <si>
    <t>Итого по подстатье 211:</t>
  </si>
  <si>
    <t>Оплата сохранения среднего заработка на срок в соответствии со ст.178, 180 ТК РФ при увольнении работников по сокращению или ликвидации учреждения</t>
  </si>
  <si>
    <r>
      <rPr>
        <u val="single"/>
        <sz val="8"/>
        <rFont val="Times New Roman"/>
        <family val="1"/>
      </rPr>
      <t>внести</t>
    </r>
    <r>
      <rPr>
        <sz val="8"/>
        <rFont val="Times New Roman"/>
        <family val="1"/>
      </rPr>
      <t xml:space="preserve"> перечень расходов с указанием суммы по каждой группе расходов</t>
    </r>
  </si>
  <si>
    <t>Транспортные услуги:</t>
  </si>
  <si>
    <t>Найм транспортных средств:</t>
  </si>
  <si>
    <t>Работы по тех.испытанию электрооборудования:</t>
  </si>
  <si>
    <t>Тех.обслуживание системы видеонаблюдения:</t>
  </si>
  <si>
    <t>Техническое обслуживание системы оповещения:</t>
  </si>
  <si>
    <t>Расходы на подписку и приобретение периодических изданий:</t>
  </si>
  <si>
    <t>Оплата за гигиеническую оценку имущества, лабораторные исследования, санитарно-бактериологические исследования</t>
  </si>
  <si>
    <t>Оплата за проверку соответствия технического состояния счетчиков (манометров) техническим требованиям (поверка)</t>
  </si>
  <si>
    <t>Расходы по разработке ПСД на другие виды работ</t>
  </si>
  <si>
    <t>указать на какие виды работ, стоимость согласно калькуляции</t>
  </si>
  <si>
    <t>Ремонт и тех.обслуживание оборудования, инвентаря (в т.ч.заправка картриджей, огнетушителей, мини-АТС):</t>
  </si>
  <si>
    <t>Оплата за предрейсовый мед.осмотр водителей:</t>
  </si>
  <si>
    <t>Ремонт обуви:</t>
  </si>
  <si>
    <t>Очистка кровли от наледей, сосулек, снега:</t>
  </si>
  <si>
    <t>Оплата за услуги плоттерной резки:</t>
  </si>
  <si>
    <t>Вывоз мусора, утилизация отходов:</t>
  </si>
  <si>
    <t>Дезинфекция, дезинсекция, дератизация (в т.ч.обработка территории от клещей):</t>
  </si>
  <si>
    <t>дефлятор</t>
  </si>
  <si>
    <t>Оплата за установку прямого телефона с пожарной частью :</t>
  </si>
  <si>
    <t>ст-ть, руб. * кол-во в мес.</t>
  </si>
  <si>
    <t>Подключение и использование Глобальной сети Интернет (включая оплату за электронную почту):</t>
  </si>
  <si>
    <t>Ремонт и тех.обслуживание транспорта:</t>
  </si>
  <si>
    <t>пункт назначения, кол-во чел.* число командировок * число дней*200руб (350 руб- Москва, С-Петербург, Красноярск, Крайний Север)</t>
  </si>
  <si>
    <t>Подстатья 213 "Начисления на выплаты по оплате труда"</t>
  </si>
  <si>
    <t>Страховые взносы на обязательное социальное страхование, страховые взносы на обязательное социальное страхование от несчастных случаев на производстве и проф. заболеваний</t>
  </si>
  <si>
    <t>Абонентская плата за пользование почтовыми абонентскими ящиками:</t>
  </si>
  <si>
    <t>Плата за предоставление доступа и использование линий связи, передачу данных по каналам связи</t>
  </si>
  <si>
    <t>Плата за подключение и абонентское обслуживание в системе электронного документооборота</t>
  </si>
  <si>
    <t>Огнезащитная обработка имущества:</t>
  </si>
  <si>
    <t>Ремонт охранной сигнализации</t>
  </si>
  <si>
    <t>Ремонт пожарной сигнализации</t>
  </si>
  <si>
    <t>Оплата за участие на семинарах, совещаниях, тренингах, соревнованиях (в т.ч. взносы (оргвзносы) за участие):</t>
  </si>
  <si>
    <t>Оплата договоров по пожарной охране:</t>
  </si>
  <si>
    <t>Оплата за услуги специальной связи:</t>
  </si>
  <si>
    <t>Тех.обслуживание локально-вычислительных сетей:</t>
  </si>
  <si>
    <t>Изготовление и приобретение бланочной продукции:</t>
  </si>
  <si>
    <t xml:space="preserve">Оплата договоров на оплату услуг по организации питания </t>
  </si>
  <si>
    <t>Оплата за совершенствование и сопровождение, приобретение лицензионных прав на программное обеспечение</t>
  </si>
  <si>
    <t>Оплата рекламы:</t>
  </si>
  <si>
    <t>Оплата за погрузочно-разгрузочные работы:</t>
  </si>
  <si>
    <t>Приобретение (изготовление) кубков, медалей, вымпелов, значков, грамот, благодарственных писем, дипломов и удостоверений лауреатов конкурсов для награждений, поздравительных открыток, сувенирной продукции, цветов</t>
  </si>
  <si>
    <t>Земельный налог</t>
  </si>
  <si>
    <t>Приобретение сантехнического оборудования</t>
  </si>
  <si>
    <t>Оплата за фасадные вывески и таблички</t>
  </si>
  <si>
    <t>Расходы на питание учащихся НПО</t>
  </si>
  <si>
    <t>Расходы на приобретение ГСМ для производственной практики для учреждений НПО и СПО:</t>
  </si>
  <si>
    <t>ст-ть, руб. * кол-во объектов</t>
  </si>
  <si>
    <t>Подстатья 225 "Работы, услуги по содержанию имущества"</t>
  </si>
  <si>
    <t>Подстатья 226 "Прочие  работы, услуги"</t>
  </si>
  <si>
    <t>Прочие государственные пошлины</t>
  </si>
  <si>
    <t>Гос.пошлина за выдачу свидетельства о государственной аккредитации:</t>
  </si>
  <si>
    <t>в соответствии с НК РФ</t>
  </si>
  <si>
    <t xml:space="preserve">Оплата проезда воспитанников к месту отдыха и обратно (в летние оздоровительные лагеря) </t>
  </si>
  <si>
    <t xml:space="preserve">Обучение электро-теплотехнического персонала (пожарно - технический минимум): </t>
  </si>
  <si>
    <t>ст-ть проезда, руб. * кол-во, чел.</t>
  </si>
  <si>
    <t>ст-ть, руб.*12 мес.</t>
  </si>
  <si>
    <t>подвоз учащихся (к месту учебы, в учреждения здравоохранения)</t>
  </si>
  <si>
    <t xml:space="preserve">Расходы на оплату проезда работников, обучающихся по заочной форме обучения, при проезде к месту нахождения учеб.заведения </t>
  </si>
  <si>
    <t xml:space="preserve">Оплата стоимости проезда студентам, направляемым на базы производств.и педагогической практики </t>
  </si>
  <si>
    <t xml:space="preserve">Оплата стоимости питания, проживания учащихся, воспитанников по культурно - массовым и спортивным мероприятиям </t>
  </si>
  <si>
    <t>Услуги по реагированию на срабатывание тревожной кнопки</t>
  </si>
  <si>
    <t>Расходы на проверку состояния огнезащитной обработки (пропитки)</t>
  </si>
  <si>
    <t>Оплата услуг по подготовке к лицензированию медицинских кабинетов</t>
  </si>
  <si>
    <t xml:space="preserve">Выплата наличных денежных средств учащимся, воспитанникам (средств на обеспечение питания (в случае невозможности приобретения услуг по его организации) при их направлении на различного рода мероприятия (культурно-массов., спортивн.) </t>
  </si>
  <si>
    <t>фонд оплаты труда * 30,2%</t>
  </si>
  <si>
    <t>ст-ть, руб. * кол-во, шт. * 27,1%</t>
  </si>
  <si>
    <t>ст-ть, руб. * кол-во, шт. (кв.м.) * 27,1%</t>
  </si>
  <si>
    <t>ст-ть, руб. * кол-во, чел. * 27,1%</t>
  </si>
  <si>
    <t>ст-ть, руб. * кол-во, шт. *27,1%</t>
  </si>
  <si>
    <t xml:space="preserve">Компенсационные выплаты молодежи, проживающей в районах Крайнего Севера
</t>
  </si>
  <si>
    <t>сумма, руб. * кол-во чел.</t>
  </si>
  <si>
    <t>не проживающих в общежитии</t>
  </si>
  <si>
    <t>ст-ть, руб. * кол-во, чел.*кол-во дней</t>
  </si>
  <si>
    <t>проживающих в общежитии</t>
  </si>
  <si>
    <t>детей-сирот и детей, оставшихся без попечения родителей</t>
  </si>
  <si>
    <t>ВСЕГО по лимитам</t>
  </si>
  <si>
    <t>Оплата договоров на оплату услуг по организации питания для учреждений, реализующих программы НПО</t>
  </si>
  <si>
    <t>Денежная компенсация взамен обеспечения бесплатным горячим питанием учащимся, при прохождении учебной или производственной практики в организациях или наличии хронических заболеваний, при которых по медицинским показаниям требуется специальное (диетическое) питание. Для учреждений, реализующих программы НПО.</t>
  </si>
  <si>
    <t xml:space="preserve">Директор </t>
  </si>
  <si>
    <t>(расшифровка подписи)</t>
  </si>
  <si>
    <t>Экономист</t>
  </si>
  <si>
    <t>Приложение 1К.1</t>
  </si>
  <si>
    <t>начисления * 30,2%</t>
  </si>
  <si>
    <t>ст-ть, руб. * кол-во час. * 30,2%</t>
  </si>
  <si>
    <t>ст-ть, руб. * кол-во час. * 27,3%</t>
  </si>
  <si>
    <t>наименование учреждения</t>
  </si>
  <si>
    <r>
      <t xml:space="preserve">Смета текущих расходов по </t>
    </r>
    <r>
      <rPr>
        <b/>
        <sz val="9"/>
        <color indexed="12"/>
        <rFont val="Times New Roman"/>
        <family val="1"/>
      </rPr>
      <t>_________________________________________________________________________________</t>
    </r>
  </si>
  <si>
    <t>Вид расходов 111</t>
  </si>
  <si>
    <t>Итого по 111 виду расходов</t>
  </si>
  <si>
    <t>Вид расходов 112</t>
  </si>
  <si>
    <t>Итого по 112 виду расходов</t>
  </si>
  <si>
    <t>Вид расходов 244</t>
  </si>
  <si>
    <t>Итого по 244 виду расходов</t>
  </si>
  <si>
    <t>Вид расходов 321</t>
  </si>
  <si>
    <t>Итого по 321 виду расходов</t>
  </si>
  <si>
    <t>Вид расходов 851</t>
  </si>
  <si>
    <t>Налог на имущество</t>
  </si>
  <si>
    <t>Итого по 851 виду расходов</t>
  </si>
  <si>
    <t>Вид расходов 852</t>
  </si>
  <si>
    <t>Итого по 852 виду расходов</t>
  </si>
  <si>
    <t>антивирусные программы</t>
  </si>
  <si>
    <t>Страхование жизни и здоровья детей от несчастного случая</t>
  </si>
  <si>
    <t>программа Парус</t>
  </si>
  <si>
    <t xml:space="preserve">Услуги по размещению и поддержке ресурсов в сети Интернет (услуги веб-хостинга)
</t>
  </si>
  <si>
    <t>Информационное и техническое сопровождение Интернет-сайтов</t>
  </si>
  <si>
    <t xml:space="preserve">Проведение технической экспертизы предполагаемого для списания имущества
</t>
  </si>
  <si>
    <t xml:space="preserve">Проведение эксплуатационных испытаний пожарных лестниц и ограждений на крышах
</t>
  </si>
  <si>
    <t>Работы по испытанию дополнительных защитных средств (диэлектрические перчатки, галоши, боты)</t>
  </si>
  <si>
    <t>Плата за доступ к краевой системе мониторинга ГЛОНАСС</t>
  </si>
  <si>
    <t>Изготовление стендов:</t>
  </si>
  <si>
    <t>Выполнение работ по монтажу, пусконаладке, тестированию программно-аппаратного комплекса "Стрелец-Мониторинг"</t>
  </si>
  <si>
    <t>Проведение испытаний пожарных кранов</t>
  </si>
  <si>
    <t xml:space="preserve">Услуги  кабельного телевизионного вещания
</t>
  </si>
  <si>
    <t xml:space="preserve">Оплата за клинико-лабораторные обследования  детей
</t>
  </si>
  <si>
    <t>Оплата за утилизацию (захоронение) твердых бытовых отходов</t>
  </si>
  <si>
    <t>Расходы на питание сотрудников оздоровительного лагеря</t>
  </si>
  <si>
    <t>по факту 2014 (2013) года</t>
  </si>
  <si>
    <t>ст-ть согласно договору либо по факту 2014г. (2013г.)</t>
  </si>
  <si>
    <t>ст-ть согласно прайсу либо по факту 2014г. (2013г.)</t>
  </si>
  <si>
    <t>тариф, руб. * МВт</t>
  </si>
  <si>
    <r>
      <t xml:space="preserve">Оплата курсов по подготовке к поступлению в образовательные учреждения среднего  и высшего профессионального образования детей-сирот и детей, оставшихся без попечения родителей </t>
    </r>
    <r>
      <rPr>
        <b/>
        <u val="single"/>
        <sz val="9"/>
        <rFont val="Times New Roman"/>
        <family val="1"/>
      </rPr>
      <t>ЦСР 0241573</t>
    </r>
    <r>
      <rPr>
        <u val="single"/>
        <sz val="9"/>
        <rFont val="Times New Roman"/>
        <family val="1"/>
      </rPr>
      <t xml:space="preserve"> </t>
    </r>
    <r>
      <rPr>
        <b/>
        <u val="single"/>
        <sz val="9"/>
        <rFont val="Times New Roman"/>
        <family val="1"/>
      </rPr>
      <t>ВР 244</t>
    </r>
  </si>
  <si>
    <r>
      <t>Оздоровление детей за счет средств краевого бюджета, за исключением субсидий местным бюджетам</t>
    </r>
    <r>
      <rPr>
        <b/>
        <u val="single"/>
        <sz val="9"/>
        <rFont val="Times New Roman"/>
        <family val="1"/>
      </rPr>
      <t xml:space="preserve"> ВР 323 ЦСР 0220061</t>
    </r>
  </si>
  <si>
    <t>((ФОТ+расходы на внештат.ФОТ) (без подоходного налога 13%)  * % за услугу</t>
  </si>
  <si>
    <t>((ФОТ +расходы на внештат.ФОТ) (без подоходного налога 13%)   + сумма на командировочные расходы * тариф, руб. / 1000 руб.</t>
  </si>
  <si>
    <r>
      <t xml:space="preserve">Расходы на проезд по командировкам и курсам повышения квалификации </t>
    </r>
    <r>
      <rPr>
        <b/>
        <i/>
        <sz val="9"/>
        <rFont val="Times New Roman"/>
        <family val="1"/>
      </rPr>
      <t>(оплата по договорам (контрактам) безналичный расчет) :</t>
    </r>
  </si>
  <si>
    <r>
      <t xml:space="preserve">Расходы на проживание по командировкам и курсам повышения квалификации </t>
    </r>
    <r>
      <rPr>
        <b/>
        <i/>
        <sz val="9"/>
        <rFont val="Times New Roman"/>
        <family val="1"/>
      </rPr>
      <t>(оплата по договорам (контрактам) безналичный расчет):</t>
    </r>
  </si>
  <si>
    <t>Приобретение межкомнатных дверей</t>
  </si>
  <si>
    <r>
      <t xml:space="preserve">Ежемесячное обеспечение личных расходов детей-сирот и детей, оставшихся без попечения родителей </t>
    </r>
    <r>
      <rPr>
        <b/>
        <u val="single"/>
        <sz val="9"/>
        <rFont val="Times New Roman"/>
        <family val="1"/>
      </rPr>
      <t>ЦСР 0240476 ВР  313</t>
    </r>
  </si>
  <si>
    <r>
      <t xml:space="preserve">Денежная компенсация взамен обеспечения одеждой, обувью, мягким инвентарем и оборудованием детям-сиротам и детям, оставшимся без попечения родителей, за исключением лиц, обучающихся в образовательных учреждениях профессионального образования </t>
    </r>
    <r>
      <rPr>
        <b/>
        <u val="single"/>
        <sz val="9"/>
        <rFont val="Times New Roman"/>
        <family val="1"/>
      </rPr>
      <t>ЦСР 0240477  ВР 321</t>
    </r>
  </si>
  <si>
    <r>
      <t xml:space="preserve">Единовременное денежное пособие при выпуске детям-сиротам и детям, оставшимся без попечения родителей в размере прожиточного минимума
 </t>
    </r>
    <r>
      <rPr>
        <b/>
        <u val="single"/>
        <sz val="9"/>
        <rFont val="Times New Roman"/>
        <family val="1"/>
      </rPr>
      <t>ЦСР 0240477  ВР 321</t>
    </r>
  </si>
  <si>
    <t xml:space="preserve">сумма (прожиточный минимум за 1 квартал 2015), руб. * кол-во чел. </t>
  </si>
  <si>
    <t>по факту 2015 (2014) года</t>
  </si>
  <si>
    <t xml:space="preserve">Выплаты патронатному воспитателю </t>
  </si>
  <si>
    <t xml:space="preserve">Оплата услуг банка по зачислению денежных средств патронатному воспитателю </t>
  </si>
  <si>
    <r>
      <rPr>
        <sz val="9"/>
        <rFont val="Times New Roman"/>
        <family val="1"/>
      </rPr>
      <t>Выплата денежной компенсации на приобретение продуктов питания детям-сиротам и детям, оставшимся без попечения родителей, при временной передаче в семьи граждан</t>
    </r>
    <r>
      <rPr>
        <b/>
        <u val="single"/>
        <sz val="9"/>
        <rFont val="Times New Roman"/>
        <family val="1"/>
      </rPr>
      <t xml:space="preserve"> ЦСР 0241611 ВР 321</t>
    </r>
  </si>
  <si>
    <r>
      <t xml:space="preserve">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краевого бюджета или местных бюджетов по основным образовательным программам, на городском, пригородном, в сельской местности на внутрирайонном транспорте (кроме такси), а также бесплатным проездом один раз в год к месту жительства и обратно к месту учебы  </t>
    </r>
    <r>
      <rPr>
        <b/>
        <u val="single"/>
        <sz val="9"/>
        <rFont val="Times New Roman"/>
        <family val="1"/>
      </rPr>
      <t>ЦСР 0240479 ВР 321</t>
    </r>
  </si>
  <si>
    <t>Выплату работникам среднемесячного заработка на период трудоустройства при их увольнении в связи с ликвидацией либо реорганизацией учреждения, иными организационно-штатными мероприятиями, приводящими к сокращению численности или штата учреждения;</t>
  </si>
  <si>
    <t xml:space="preserve">15156, руб. * кол-во путевок </t>
  </si>
  <si>
    <t>Расходы на специальную оценку условий труда (идентификация потенциально вредных и опасных факторов)</t>
  </si>
  <si>
    <r>
      <t xml:space="preserve">Расходы на специальную оценку условий труда </t>
    </r>
    <r>
      <rPr>
        <i/>
        <sz val="9"/>
        <rFont val="Times New Roman"/>
        <family val="1"/>
      </rPr>
      <t>(исследования, испытания, замеры, лабораторные исследования)</t>
    </r>
  </si>
  <si>
    <t>Оплата расходов по проживанию, проезду аттестационной комиссии</t>
  </si>
  <si>
    <t>Расходы на питание детей в оздоровительном лагере, базе отдыха</t>
  </si>
  <si>
    <t>кисломолочная продукция</t>
  </si>
  <si>
    <t>Оплата за приобретение стендов</t>
  </si>
  <si>
    <t>Оплата стоимости проезда учащихся, воспитанников по культурно - массовым и спортивным мероприятиям</t>
  </si>
  <si>
    <t>Расходы на тех.обслуживание программно-аппаратного комплекса для мониторинга состояния безопасности объектов (Стрелец-Мониторинг, Тандем и др.)</t>
  </si>
  <si>
    <t>программа СБиС++Электронная отчетность</t>
  </si>
  <si>
    <r>
      <t xml:space="preserve">Краевые выплаты  младшим воспитателям и помощникам воспитателей,  реализующих основную общеобразовательную программу дошкольного образования детей
 </t>
    </r>
    <r>
      <rPr>
        <b/>
        <u val="single"/>
        <sz val="9"/>
        <rFont val="Times New Roman"/>
        <family val="1"/>
      </rPr>
      <t>ЦСР 0221558 ВР 111, статья 211</t>
    </r>
  </si>
  <si>
    <r>
      <t xml:space="preserve">Краевые выплаты  младшим воспитателям и помощникам воспитателей,  реализующих основную общеобразовательную программу дошкольного образования детей 
</t>
    </r>
    <r>
      <rPr>
        <b/>
        <u val="single"/>
        <sz val="9"/>
        <rFont val="Times New Roman"/>
        <family val="1"/>
      </rPr>
      <t>ЦСР 0221558 ВР 111, статья 213</t>
    </r>
  </si>
  <si>
    <t>расписать расчет</t>
  </si>
  <si>
    <t>приложить свой расчет (кол-во чел. * стоим. д.-дней *кол-во д.-дней)</t>
  </si>
  <si>
    <t>приложить свой расчет (кол-во чел. * стоим. курса)</t>
  </si>
  <si>
    <t>указать статью и подпункт</t>
  </si>
  <si>
    <t>Вид расходов 119</t>
  </si>
  <si>
    <t>Итого по 119 виду расходов</t>
  </si>
  <si>
    <t>Вид расходов 853</t>
  </si>
  <si>
    <t>Итого по 853 виду расходов</t>
  </si>
  <si>
    <r>
      <rPr>
        <sz val="9"/>
        <rFont val="Times New Roman"/>
        <family val="1"/>
      </rPr>
      <t>Выплата денежной компенсации на приобретение продуктов питания детям-сиротам и детям, оставшимся без попечения родителей, при временной передаче в семьи граждан</t>
    </r>
    <r>
      <rPr>
        <b/>
        <u val="single"/>
        <sz val="9"/>
        <rFont val="Times New Roman"/>
        <family val="1"/>
      </rPr>
      <t xml:space="preserve"> 10 04 ЦСР 0240016110 ВР 321</t>
    </r>
  </si>
  <si>
    <r>
      <t xml:space="preserve">Оздоровление детей за счет средств краевого бюджета, за исключением субсидий местным бюджетам </t>
    </r>
    <r>
      <rPr>
        <b/>
        <u val="single"/>
        <sz val="9"/>
        <rFont val="Times New Roman"/>
        <family val="1"/>
      </rPr>
      <t xml:space="preserve"> 0707 ВР 323 ЦСР 0220000610</t>
    </r>
  </si>
  <si>
    <r>
      <t xml:space="preserve">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краевого бюджета или местных бюджетов по основным образовательным программам, на городском, пригородном, в сельской местности на внутрирайонном транспорте (кроме такси), а также бесплатным проездом один раз в год к месту жительства и обратно к месту учебы  </t>
    </r>
    <r>
      <rPr>
        <b/>
        <u val="single"/>
        <sz val="9"/>
        <rFont val="Times New Roman"/>
        <family val="1"/>
      </rPr>
      <t>0702 ЦСР 0240004790 ВР 321</t>
    </r>
  </si>
  <si>
    <t>ст-ть проезда, руб. * кол-во чел. * кол-во дней</t>
  </si>
  <si>
    <r>
      <t xml:space="preserve">Ежемесячное обеспечение личных расходов детей-сирот и детей, оставшихся без попечения родителей </t>
    </r>
    <r>
      <rPr>
        <b/>
        <u val="single"/>
        <sz val="9"/>
        <rFont val="Times New Roman"/>
        <family val="1"/>
      </rPr>
      <t>0702 ЦСР 0240004760 ВР 321</t>
    </r>
  </si>
  <si>
    <r>
      <t>Выплата единовременного денежного пособия в размере величины прожиточного минимума, а также денежной компенсации взамен обеспечения мягким инвентарем и оборудованием детям-сиротам и детям, оставшимся без попечения родителей</t>
    </r>
    <r>
      <rPr>
        <b/>
        <u val="single"/>
        <sz val="9"/>
        <rFont val="Times New Roman"/>
        <family val="1"/>
      </rPr>
      <t xml:space="preserve"> 0702 ЦСР 0240004770  ВР 321</t>
    </r>
  </si>
  <si>
    <t>пункт назначения, кол-во чел.* число командировок * число дней*350руб (500 руб- в городах федерального значения, административных центрах субъектов Российской Федерации, районах Крайнего Севера)</t>
  </si>
  <si>
    <t>по факту 2017 (2016) года</t>
  </si>
  <si>
    <t>ст-ть согласно договору либо по факту 2017г. (2016г.)</t>
  </si>
  <si>
    <t>ст-ть согласно прайсу либо по факту 2017г. (2016г.)</t>
  </si>
  <si>
    <t xml:space="preserve">16 666,0 руб. * кол-во путевок </t>
  </si>
  <si>
    <r>
      <t xml:space="preserve">Смета текущих расходов по </t>
    </r>
    <r>
      <rPr>
        <b/>
        <sz val="9"/>
        <color indexed="12"/>
        <rFont val="Times New Roman"/>
        <family val="1"/>
      </rPr>
      <t>_____________________________________________________________________________________________________</t>
    </r>
  </si>
  <si>
    <t>50,0 руб.* районный коэф-т* 12 мес. * кол-во чел.</t>
  </si>
  <si>
    <t xml:space="preserve">Расходы на диагностику автотранспортного средства и технический осмотр
</t>
  </si>
  <si>
    <t>Приобретение дверных полотен</t>
  </si>
  <si>
    <t xml:space="preserve">указать статью и подпункт </t>
  </si>
  <si>
    <t>к письму КГКУ по ОИПОО</t>
  </si>
  <si>
    <t>от                       №</t>
  </si>
  <si>
    <t>Приложение</t>
  </si>
  <si>
    <t>2018год:6352,00руб.*63Мвт.ч.</t>
  </si>
  <si>
    <t>2018-2020год:271,37руб.*114,12017куб.</t>
  </si>
  <si>
    <t>2018-2020год:940,75ру.*12мес.</t>
  </si>
  <si>
    <t>2018-2020год:3000,00руб.*12мес.</t>
  </si>
  <si>
    <t>2018-2020год:1541,25руб.*12мес.</t>
  </si>
  <si>
    <t>2018-2020год:6999,76руб.*12мес.</t>
  </si>
  <si>
    <t>расчет прилагается</t>
  </si>
  <si>
    <t>450*7опор*12мес.</t>
  </si>
  <si>
    <t>приложить расчет (смета)</t>
  </si>
  <si>
    <t>2600руб.*12мес.</t>
  </si>
  <si>
    <t>а</t>
  </si>
  <si>
    <t>по факту 2016</t>
  </si>
  <si>
    <t xml:space="preserve">Прочее </t>
  </si>
  <si>
    <t>33909 -инструментальные измерения</t>
  </si>
  <si>
    <t>10960,48*2полугодия</t>
  </si>
  <si>
    <t>2800*12мес</t>
  </si>
  <si>
    <t>800*2чел</t>
  </si>
  <si>
    <t>4865,14*12мес</t>
  </si>
  <si>
    <t>2раза*1000</t>
  </si>
  <si>
    <t>обновление программы для учета продуктов -5100</t>
  </si>
  <si>
    <t xml:space="preserve">2018-2020год: 65,0 руб.*12 мес.*1 чел. </t>
  </si>
  <si>
    <t>в дефицит</t>
  </si>
  <si>
    <t>2018-2020год:руб*40чел</t>
  </si>
  <si>
    <t>2018-2020:30руб*218,924л.*2ед*12мес</t>
  </si>
  <si>
    <t>2018-2020:37,5руб*138,445л.*1ед*12мес</t>
  </si>
  <si>
    <t>2018-2020:70,85руб*5,25л.*12мес.</t>
  </si>
  <si>
    <t>2018-2020:93,75руб*0,666л.*12мес.</t>
  </si>
  <si>
    <t>2018-2020:71руб*0,25л.*12мес.</t>
  </si>
  <si>
    <t>2018-2020:118,15руб*0,416л.*12мес.</t>
  </si>
  <si>
    <t>2018-2020год:121,117руб.*40чел</t>
  </si>
  <si>
    <t>2018-2020год:21,61руб.*22чел</t>
  </si>
  <si>
    <t>2018-2020год:0,42руб*1753,89м2</t>
  </si>
  <si>
    <t>2018-2020год:1,978руб*12450кг</t>
  </si>
  <si>
    <t>2018-2020год:118,75руб.*40чел.</t>
  </si>
  <si>
    <t>2018-2020год:771,537руб.*40чел.</t>
  </si>
  <si>
    <t>2018-2020год:1257,69руб*11шт.</t>
  </si>
  <si>
    <t>2018-2020год:195руб*150шт.</t>
  </si>
  <si>
    <t>2018-2020год:2руб*500шт.</t>
  </si>
  <si>
    <t>2018-2020год:62,01руб*22чел.</t>
  </si>
  <si>
    <t>16666руб.*19путевок</t>
  </si>
  <si>
    <t xml:space="preserve">2018-2020год: 65,0 руб.*12 мес.*3 чел. </t>
  </si>
  <si>
    <t>СТАТЬЯ 340</t>
  </si>
  <si>
    <t xml:space="preserve">УВЕЛИЧЕНИЕ СТОИМОСТИ МАТЕРИАЛЬНЫХ ЗАПАСОВ                                                                                                                                                                                                                  </t>
  </si>
  <si>
    <t xml:space="preserve"> Расчет обеспечения одеждой, обувью, мягким инвентарем и оборудованием </t>
  </si>
  <si>
    <t>№ п/п</t>
  </si>
  <si>
    <t>Единица измере-ния</t>
  </si>
  <si>
    <t>Полагается по норме</t>
  </si>
  <si>
    <t>Срок носки, служ-бы лет</t>
  </si>
  <si>
    <t>Числен-ность  детей, чел.</t>
  </si>
  <si>
    <t>Имеется в наличии</t>
  </si>
  <si>
    <t>Необходимо приобрести
 в 2018г.</t>
  </si>
  <si>
    <t>В т.ч. 
истекает срок в 2018г.</t>
  </si>
  <si>
    <t xml:space="preserve">коли-чество </t>
  </si>
  <si>
    <t>цена, руб.</t>
  </si>
  <si>
    <t>сумма, руб.</t>
  </si>
  <si>
    <t>штук</t>
  </si>
  <si>
    <t>Итого:</t>
  </si>
  <si>
    <t>Директор</t>
  </si>
  <si>
    <t>С.В. Филькина</t>
  </si>
  <si>
    <t>Согласно закону Красноярского края от 05.07.2005 N 15-3672 "Об установлении норм питания, обеспечения одеждой, обувью, мягким инвентарем и оборудованием детей-сирот и детей, оставшихся без попечения родителей, находящихся в краевых государственных образовательных учреждениях"</t>
  </si>
  <si>
    <t xml:space="preserve">Обмундирование для мальчиков старше 6 лет </t>
  </si>
  <si>
    <t xml:space="preserve">Одежда верхняя зимняя  </t>
  </si>
  <si>
    <t xml:space="preserve"> штук</t>
  </si>
  <si>
    <t>Одежда верхняя демисезонная</t>
  </si>
  <si>
    <t>Костюм для школы для мальчика</t>
  </si>
  <si>
    <t>Костюм спортивный, кеды</t>
  </si>
  <si>
    <t>комплект</t>
  </si>
  <si>
    <t>Брюки, джинсы для мальчиков</t>
  </si>
  <si>
    <t>Рубашка для мальчика</t>
  </si>
  <si>
    <t>Костюм (праздничный) для мальчика</t>
  </si>
  <si>
    <t xml:space="preserve">Костюм летний (празничный) для мальчика </t>
  </si>
  <si>
    <t>Свитер (джемпер, толстовка)</t>
  </si>
  <si>
    <t>Головной убор зимний</t>
  </si>
  <si>
    <t>Головной убор летний</t>
  </si>
  <si>
    <t xml:space="preserve">Платок носовой     </t>
  </si>
  <si>
    <t>Ремень брючный для мальчика (подтяжки)</t>
  </si>
  <si>
    <t>Шарф</t>
  </si>
  <si>
    <t>Перчатки (варежки)</t>
  </si>
  <si>
    <t>пара</t>
  </si>
  <si>
    <t>Трусы для мальчиков</t>
  </si>
  <si>
    <t xml:space="preserve">Шорты              </t>
  </si>
  <si>
    <t>Майка</t>
  </si>
  <si>
    <t>Футболка (водолазка) для мальчиков</t>
  </si>
  <si>
    <t xml:space="preserve">Носки, гольфы хлопчатобумажные     </t>
  </si>
  <si>
    <t xml:space="preserve">Летняя обувь     </t>
  </si>
  <si>
    <t>Тапочки домашние</t>
  </si>
  <si>
    <t>Зимняя утепленная обувь</t>
  </si>
  <si>
    <t>Демисезонная обувь для школьника</t>
  </si>
  <si>
    <t>Костюм лыжный</t>
  </si>
  <si>
    <t>Шапка спортивная</t>
  </si>
  <si>
    <t>Пижама</t>
  </si>
  <si>
    <t>Трико для мальчиков</t>
  </si>
  <si>
    <t>Плавки</t>
  </si>
  <si>
    <t>Шапочка резиновая</t>
  </si>
  <si>
    <t>Рабочая одежда</t>
  </si>
  <si>
    <t>Портфель, сумка</t>
  </si>
  <si>
    <t>Чемодан</t>
  </si>
  <si>
    <t xml:space="preserve">Обмундирование для девочек старше 6 лет </t>
  </si>
  <si>
    <t>Необходимо приобрести
 в 2018 г.</t>
  </si>
  <si>
    <t>В т.ч. 
истекает срок в 2018 г.</t>
  </si>
  <si>
    <t>Одежда верхняя зимняя</t>
  </si>
  <si>
    <t xml:space="preserve">Костюм для школы для девочки </t>
  </si>
  <si>
    <t xml:space="preserve">Платье (юбка, блузка) </t>
  </si>
  <si>
    <t xml:space="preserve">Халат домашний для девочки </t>
  </si>
  <si>
    <t xml:space="preserve">Платье (костюм)  (праздничное) для  девочки </t>
  </si>
  <si>
    <t xml:space="preserve">Платье летнее  (костюм) (праздничное) для  девочки </t>
  </si>
  <si>
    <t xml:space="preserve">Рейтузы (легинсы,  бриджи) для девочки </t>
  </si>
  <si>
    <t>Платок носовой</t>
  </si>
  <si>
    <t xml:space="preserve">Брюки, джинсы для  девочки </t>
  </si>
  <si>
    <t xml:space="preserve">Ремень брючный для мальчика (подтяжки) </t>
  </si>
  <si>
    <t xml:space="preserve">пар </t>
  </si>
  <si>
    <t xml:space="preserve">Бюстгальтер </t>
  </si>
  <si>
    <t>Плавки для девочек</t>
  </si>
  <si>
    <t xml:space="preserve">Шорты </t>
  </si>
  <si>
    <t xml:space="preserve">Майка </t>
  </si>
  <si>
    <t>Футболка (водолазка, топик) для девочки</t>
  </si>
  <si>
    <t>Носки, гольфы  хлопчатобумажные</t>
  </si>
  <si>
    <t xml:space="preserve"> пар </t>
  </si>
  <si>
    <t>Летняя обувь</t>
  </si>
  <si>
    <t xml:space="preserve">Зимняя утепленная  обувь </t>
  </si>
  <si>
    <t xml:space="preserve">Демисезонная обувь для школьника </t>
  </si>
  <si>
    <t xml:space="preserve">Костюм лыжный </t>
  </si>
  <si>
    <t>Сорочка ночная, пижама</t>
  </si>
  <si>
    <t>Колготки</t>
  </si>
  <si>
    <t>Купальник</t>
  </si>
  <si>
    <t xml:space="preserve">Шапочка резиновая </t>
  </si>
  <si>
    <t xml:space="preserve">Портфель, сумка </t>
  </si>
  <si>
    <t xml:space="preserve">Чемодан </t>
  </si>
  <si>
    <t>Обмундирование всего:</t>
  </si>
  <si>
    <t xml:space="preserve">Обмундирование для мальчиков от 3 до 6 лет </t>
  </si>
  <si>
    <t>Необходимо приобрести
 в 2017г.</t>
  </si>
  <si>
    <t>В т.ч. 
истекает срок в 2017г.</t>
  </si>
  <si>
    <t xml:space="preserve">Брюки, джинсы для  мальчиков </t>
  </si>
  <si>
    <t>Костюм летний  (праздничный) для  мальчика</t>
  </si>
  <si>
    <t xml:space="preserve">Трусы для мальчиков </t>
  </si>
  <si>
    <t>Футболка (водолазка) для мальчика</t>
  </si>
  <si>
    <t xml:space="preserve">Сапоги резиновые для дошкольника </t>
  </si>
  <si>
    <t>Сорочка ночная,  пижама</t>
  </si>
  <si>
    <t>Передник, нагрудник  для дошкольников</t>
  </si>
  <si>
    <t>Песочник, купальник, плавки</t>
  </si>
  <si>
    <t xml:space="preserve">Обмундирование для девочек от 3 до 6 лет </t>
  </si>
  <si>
    <t xml:space="preserve">Платье (юбка,  блузка) </t>
  </si>
  <si>
    <t>Водоотведение</t>
  </si>
  <si>
    <r>
      <t xml:space="preserve">ПОДСТАТЬЯ </t>
    </r>
    <r>
      <rPr>
        <sz val="14"/>
        <rFont val="Times New Roman"/>
        <family val="1"/>
      </rPr>
      <t>340</t>
    </r>
  </si>
  <si>
    <t>УВЕЛИЧЕНИЕ СТОИМОСТИ МАТЕРИАЛЬНЫХ ЗАПАСОВ</t>
  </si>
  <si>
    <t>Расчет расходов на продукты питания</t>
  </si>
  <si>
    <t>Дошкольники</t>
  </si>
  <si>
    <t>Каникулярных, воскресных и праздничных дней - 152 дня (примерно)</t>
  </si>
  <si>
    <t>36 учебных недель в среднем</t>
  </si>
  <si>
    <t>52 недели - 36 недель = 16 недель * 7 дней = 112 дней каникулярных</t>
  </si>
  <si>
    <t>в 36 учебных неделях - 36 воскресений</t>
  </si>
  <si>
    <t>праздничные дни вне каникул - 23 февраля, 8 марта, 1 и 9 мая, остальные праздничные дни совпадают с каникулами</t>
  </si>
  <si>
    <t>каникулы: примерно 90 дней - лето, 01.01 - 14.01, 24.03 - 01.04, 03.11 - 10.11</t>
  </si>
  <si>
    <t>итого: 112 + 36 + 4 = 152 дня</t>
  </si>
  <si>
    <t>годы</t>
  </si>
  <si>
    <t>Среднее число дней пребывания одного воспитанника в год</t>
  </si>
  <si>
    <t>Среднегодовое количество детей</t>
  </si>
  <si>
    <t>8* 8 + 8 * 4</t>
  </si>
  <si>
    <t>12 мес.</t>
  </si>
  <si>
    <t>где: А - кол-во детей на 1 января 2018 г.</t>
  </si>
  <si>
    <t>Б - кол-во детей на 1 сентября 2018 г.</t>
  </si>
  <si>
    <r>
      <t>Количество дето-дней - всего</t>
    </r>
    <r>
      <rPr>
        <sz val="12"/>
        <rFont val="Times New Roman"/>
        <family val="1"/>
      </rPr>
      <t>: 8 чел. * 365 день = 2920</t>
    </r>
  </si>
  <si>
    <r>
      <t>В том числе воскресные, каникулярные и праздничные дни</t>
    </r>
    <r>
      <rPr>
        <sz val="12"/>
        <rFont val="Times New Roman"/>
        <family val="1"/>
      </rPr>
      <t xml:space="preserve">                                                                                     Число дето-дней: 8 чел. * 152 день = 1216</t>
    </r>
  </si>
  <si>
    <r>
      <t xml:space="preserve"> в т.ч. количество дето-дней в патронатных семьях - всего</t>
    </r>
    <r>
      <rPr>
        <sz val="12"/>
        <rFont val="Times New Roman"/>
        <family val="1"/>
      </rPr>
      <t>:   0</t>
    </r>
  </si>
  <si>
    <r>
      <t>в том числе воскресные, каникулярные и праздничные дни в патронатных семьях:</t>
    </r>
    <r>
      <rPr>
        <sz val="12"/>
        <rFont val="Times New Roman"/>
        <family val="1"/>
      </rPr>
      <t xml:space="preserve"> 0                                      </t>
    </r>
  </si>
  <si>
    <r>
      <t xml:space="preserve">Количество дето-дней, принимаемых к расчету питания </t>
    </r>
    <r>
      <rPr>
        <i/>
        <sz val="12"/>
        <rFont val="Times New Roman"/>
        <family val="1"/>
      </rPr>
      <t>(время учебы)</t>
    </r>
  </si>
  <si>
    <t>Количество дето-дней всего</t>
  </si>
  <si>
    <t xml:space="preserve">Количество дето-дней в патронатных семьях </t>
  </si>
  <si>
    <t>Количество дето-дней нахождения в оздоровительном лагере</t>
  </si>
  <si>
    <t>1=2-3-4</t>
  </si>
  <si>
    <t>2</t>
  </si>
  <si>
    <t>3</t>
  </si>
  <si>
    <t>4</t>
  </si>
  <si>
    <r>
      <t xml:space="preserve">Количество дето-дней принимаемых к расчету питания    </t>
    </r>
    <r>
      <rPr>
        <i/>
        <sz val="12"/>
        <rFont val="Times New Roman"/>
        <family val="1"/>
      </rPr>
      <t>( воскресные, каникулярные и праздничные дни)</t>
    </r>
  </si>
  <si>
    <t>Количество дето-дней в воскресные, каникулярные и праздничные дни всего:</t>
  </si>
  <si>
    <t xml:space="preserve">Количество дето-дней в воскресные, каникулярные и праздничные дни  в патронатных семьях </t>
  </si>
  <si>
    <t>Среднегодовое количество детей на 2018г., чел.</t>
  </si>
  <si>
    <t>Кол-во дней функционирования в 2017г.</t>
  </si>
  <si>
    <t>Плановая стоимость питания 1 ребенка в день на 2017г., руб.</t>
  </si>
  <si>
    <t>Количество дето-дней в 2018г.</t>
  </si>
  <si>
    <t>Сумма на год, руб.</t>
  </si>
  <si>
    <t>Время учебы</t>
  </si>
  <si>
    <t>в т.ч. воскресные, каникулярные и праздничные дни</t>
  </si>
  <si>
    <t>ИТОГО:</t>
  </si>
  <si>
    <t>Старше 6 лет</t>
  </si>
  <si>
    <t>32* 8 + 32 * 4</t>
  </si>
  <si>
    <t>где: А - кол-во детей на 1 января 2017 г.</t>
  </si>
  <si>
    <t>Б - кол-во детей на 1 сентября 2017 г.</t>
  </si>
  <si>
    <r>
      <t>Количество дето-дней - всего</t>
    </r>
    <r>
      <rPr>
        <sz val="12"/>
        <rFont val="Times New Roman"/>
        <family val="1"/>
      </rPr>
      <t>: 32 чел. * 365 день =11680</t>
    </r>
  </si>
  <si>
    <r>
      <t>В том числе воскресные, каникулярные и праздничные дни</t>
    </r>
    <r>
      <rPr>
        <sz val="12"/>
        <rFont val="Times New Roman"/>
        <family val="1"/>
      </rPr>
      <t xml:space="preserve">                                                                                   
  Число дето-дней: 32 чел. * 152 день = 4864</t>
    </r>
  </si>
  <si>
    <t>Кол-во дней функционирования в 2018г.</t>
  </si>
  <si>
    <t>Плановая стоимость питания 1 ребенка в день на 2018г., руб.</t>
  </si>
  <si>
    <r>
      <t xml:space="preserve">ПОДСТАТЬЯ </t>
    </r>
    <r>
      <rPr>
        <sz val="14"/>
        <rFont val="Times New Roman"/>
        <family val="1"/>
      </rPr>
      <t>262</t>
    </r>
  </si>
  <si>
    <t>ПОСОБИЯ ПО СОЦИАЛЬНОЙ ПОМОЩИ НАСЕЛЕНИЮ</t>
  </si>
  <si>
    <t>№ п./п.</t>
  </si>
  <si>
    <r>
      <t>Выплаты единовременного денежного пособия выпускникам из числа детей-сирот, за исключение лиц, продолжающих обучение по очной форме в учреждениях проф.образования</t>
    </r>
    <r>
      <rPr>
        <sz val="12"/>
        <rFont val="Times New Roman"/>
        <family val="1"/>
      </rPr>
      <t xml:space="preserve"> </t>
    </r>
  </si>
  <si>
    <t>Размер величины прожиточного минимума по группам территорий за первый квартал 2016 года</t>
  </si>
  <si>
    <t>руб.</t>
  </si>
  <si>
    <t>*</t>
  </si>
  <si>
    <t>чел</t>
  </si>
  <si>
    <t xml:space="preserve">Выплаты денежной компенсации взамен приобретения одежды, обуви детям-сиротам и детям, оставшимся без попечения родителей, в случае приобретения ими полной дееспособности по окончании пребывания в краевых государственных и муниципальных организациях для детей-сирот и детей, оставшихся без попечения родителей, при условии продолжения обучения в профессиональных образовательных организациях </t>
  </si>
  <si>
    <t>Девушки</t>
  </si>
  <si>
    <t>геогр. коэф.</t>
  </si>
  <si>
    <t>Юноши</t>
  </si>
  <si>
    <t xml:space="preserve">Выплаты денежной компенсации взамен приобретения одежды, обуви, мягкого инвентаря и оборудования детям-сиротам и детям, оставшимся без попечения родителей, в случае приобретения ими полной дееспособности по окончании пребывания в краевых государственных и муниципальных организациях для детей-сирот и детей, оставшихся без попечения родителей, при условии отказа от продолжения обучения в профессиональных образовательных организациях </t>
  </si>
  <si>
    <t>Итого :</t>
  </si>
  <si>
    <t>Размер денежных средств на приобретение продуктов питания при их временной передаче в семьи граждан на одного ребенка в день</t>
  </si>
  <si>
    <t xml:space="preserve">Согласно приказа Министерства образования и науки красноярского края от 18 июня 2012 г. № 21-04/1 «Об утверждении порядка расчета размера денежной компенсации и размера денежной компенсации на приобретение продуктов питания для детей-сирот и детей, оставшихся без попечения родителей, находящихся в краевых государственных и муниципальных образовательных учреждениях, учреждениях здравоохранения, социального обслуживания населения, при их временной передаче в семьи граждан»
</t>
  </si>
  <si>
    <t>Дети-сироты старше 6 лет</t>
  </si>
  <si>
    <t>В будние дни:</t>
  </si>
  <si>
    <r>
      <t>Стоимость питания 1 воспитаника в день</t>
    </r>
    <r>
      <rPr>
        <sz val="11"/>
        <rFont val="Times New Roman"/>
        <family val="1"/>
      </rPr>
      <t>, руб.</t>
    </r>
  </si>
  <si>
    <t>Стоимость питания 1 воспитаника в день с учетом дефл. на 2018г -0 %:</t>
  </si>
  <si>
    <t>Количество воспитанников, переданных в семьи граждан, чел.</t>
  </si>
  <si>
    <t>Количество дней пребывания ребенка (детей) в семье гражданина</t>
  </si>
  <si>
    <t>Размер денежных средств на приобретение продуктов питания в будние дни, руб.</t>
  </si>
  <si>
    <t>В летний оздоровительный период, воскресные, праздничные и каникулярные дни:</t>
  </si>
  <si>
    <t>Стоимость питания 1 воспитаника в день с учетом дефл. на 2018г - %:</t>
  </si>
  <si>
    <t>Размер денежных средств на приобретение продуктов питания в воскресные, праздничные и каникулярные дни, руб.:</t>
  </si>
  <si>
    <t>Корректирующей коэффициент, учитывающего географическое положение муниципального образования:</t>
  </si>
  <si>
    <t>Всего по статье</t>
  </si>
  <si>
    <t>_____________</t>
  </si>
  <si>
    <t>___________________</t>
  </si>
  <si>
    <t>прилагается расчет</t>
  </si>
  <si>
    <t xml:space="preserve">Расчет денежных средств на выплату ежемесячного обеспечения личных расходов детей-сирот и детей, оставшихся без попечения родителей </t>
  </si>
  <si>
    <t>Согласно Закону Краснояского края "О защите прав ребенка" №12-961 от 02.11.2000</t>
  </si>
  <si>
    <t>Денежные средства на личные расходы  детям-сиротам и детям, оставшимся без попечения родителей:</t>
  </si>
  <si>
    <t xml:space="preserve">возраст с   7 до 14 лет:  </t>
  </si>
  <si>
    <t>чел.</t>
  </si>
  <si>
    <t>мес.</t>
  </si>
  <si>
    <t xml:space="preserve">возраст с 14 до 23 лет: </t>
  </si>
  <si>
    <r>
      <t xml:space="preserve">СТАТЬЯ </t>
    </r>
    <r>
      <rPr>
        <sz val="14"/>
        <rFont val="Times New Roman"/>
        <family val="1"/>
      </rPr>
      <t>340</t>
    </r>
  </si>
  <si>
    <t>Содержание операции</t>
  </si>
  <si>
    <t>ед.изм</t>
  </si>
  <si>
    <t>Количество</t>
  </si>
  <si>
    <t>Цена</t>
  </si>
  <si>
    <t>Сумма</t>
  </si>
  <si>
    <t>Тормозные колодки передние</t>
  </si>
  <si>
    <t>шт</t>
  </si>
  <si>
    <t>Тормозные колодки задние</t>
  </si>
  <si>
    <t>Стойки передние</t>
  </si>
  <si>
    <t>Стойки задние</t>
  </si>
  <si>
    <t>Ремень генератора(2шт)</t>
  </si>
  <si>
    <t>компл.</t>
  </si>
  <si>
    <t>Рем. комплект генератора</t>
  </si>
  <si>
    <t>Рем. комплект стартера</t>
  </si>
  <si>
    <t>Щетки омывателя зимние</t>
  </si>
  <si>
    <t>Щетки омывателя летние</t>
  </si>
  <si>
    <t>Лампочки ближний дальний(2шт)</t>
  </si>
  <si>
    <t>Лампочки стоп сигнала(4шт)</t>
  </si>
  <si>
    <t>Шрус наружный</t>
  </si>
  <si>
    <t>Шаровые(2шт)</t>
  </si>
  <si>
    <t>Коврики(комплект)</t>
  </si>
  <si>
    <t>Пружины</t>
  </si>
  <si>
    <t>Отбойники на стойки(4шт)</t>
  </si>
  <si>
    <t>Пыльники на стойки</t>
  </si>
  <si>
    <t>Свечи (комплект)</t>
  </si>
  <si>
    <t>Фильтр топливный</t>
  </si>
  <si>
    <t>Катушка электр.</t>
  </si>
  <si>
    <t>Фара левая</t>
  </si>
  <si>
    <t>Кожух на ручке переключ скоростей</t>
  </si>
  <si>
    <t>Подшипник ступичный  передний(2шт)</t>
  </si>
  <si>
    <t>Подшипник ступичный  задний(2шт)</t>
  </si>
  <si>
    <t>Ремень ГРМ</t>
  </si>
  <si>
    <t>Наконечники на руль тяги</t>
  </si>
  <si>
    <t>Замок двери левой передней</t>
  </si>
  <si>
    <t>Тормозные цилиндры  (2 шт)</t>
  </si>
  <si>
    <t>Замок зажигания</t>
  </si>
  <si>
    <t>Втягивающее</t>
  </si>
  <si>
    <t>ИТОГО</t>
  </si>
  <si>
    <t>Строительные материалы:</t>
  </si>
  <si>
    <t>Известь (4 кг)</t>
  </si>
  <si>
    <t>Скотч 70мм х 40м малярный</t>
  </si>
  <si>
    <t>Пена монтажная всесезонная 750 мл</t>
  </si>
  <si>
    <t>Клей ПВА ТУ 2385-002</t>
  </si>
  <si>
    <t>кг</t>
  </si>
  <si>
    <t xml:space="preserve">Краска ВД интерьерная супербелая </t>
  </si>
  <si>
    <t xml:space="preserve">Уайт - Спирит </t>
  </si>
  <si>
    <t>литр</t>
  </si>
  <si>
    <t xml:space="preserve">Эмаль ПФ - 115 красная </t>
  </si>
  <si>
    <t>Шпатлевка гипсовая на безусадочной оснлве</t>
  </si>
  <si>
    <t xml:space="preserve">Эмаль ПФ - 115 белая </t>
  </si>
  <si>
    <t xml:space="preserve">Эмаль ПФ - 115 зеленая </t>
  </si>
  <si>
    <t>Эмаль ПФ - 115 голубая</t>
  </si>
  <si>
    <t xml:space="preserve">Краска ВД для потолков супербелая </t>
  </si>
  <si>
    <t xml:space="preserve">Эмаль ПФ - 115 желтая </t>
  </si>
  <si>
    <t>Паста колеровочная 100 мл</t>
  </si>
  <si>
    <t>флакон</t>
  </si>
  <si>
    <t xml:space="preserve">Эмаль ПФ - 115 синяя </t>
  </si>
  <si>
    <t>Смесь штукатурная гидроизоляционная Кальматрон 25 кг</t>
  </si>
  <si>
    <t>мешок</t>
  </si>
  <si>
    <t>расчет приложен</t>
  </si>
  <si>
    <t>Хоз.товары:</t>
  </si>
  <si>
    <t>Ведро пластмассовое 10л с крышкой  ГОСТ 50962-96</t>
  </si>
  <si>
    <t>Ведро пластмассовое 5 л с крышкой ГОСТ 50962-96</t>
  </si>
  <si>
    <t xml:space="preserve">Корзинап/м  для мусора 5л </t>
  </si>
  <si>
    <t>Лопата для уборки снега с металич. уголком (500х500мм) с черенком</t>
  </si>
  <si>
    <t>Метла из натурального материала б/ч</t>
  </si>
  <si>
    <t>Перчатки х/б прорезиненые</t>
  </si>
  <si>
    <t>Таз пластмассовый 8 л  ГОСТ 50962-96</t>
  </si>
  <si>
    <t>Таз пластмассовый 10л  ГОСТ 50962-96</t>
  </si>
  <si>
    <t>Таз пластмассовый 2л  ГОСТ 50962-96</t>
  </si>
  <si>
    <t>Посуда:</t>
  </si>
  <si>
    <t xml:space="preserve">Кастрюля эмалир. 3,0 л с крышкой б/деколи </t>
  </si>
  <si>
    <t xml:space="preserve">Кастрюля эмалир. 1,5 л с крышкой б/деколи </t>
  </si>
  <si>
    <t xml:space="preserve">Кружка керамическая (фарфор) 0,25 л </t>
  </si>
  <si>
    <t xml:space="preserve">Разнос металический 300х440мм </t>
  </si>
  <si>
    <t>Чайник эмалированный 3,5л ГОСТ 24788-2001</t>
  </si>
  <si>
    <t xml:space="preserve">Тарелка порционная фарфоровая 175мм мелкая </t>
  </si>
  <si>
    <t>Тарелка порционная фарфоровая 200мм глубокая</t>
  </si>
  <si>
    <t>Ковш эмалированный 1 л.</t>
  </si>
  <si>
    <t>Одноразовая тарелка</t>
  </si>
  <si>
    <t>Одноразовый   стакан</t>
  </si>
  <si>
    <t>Салатник фарфоровый</t>
  </si>
  <si>
    <t>Расчет затрат на спецодежду</t>
  </si>
  <si>
    <t>Основание (пункт типовых отраслевых норм, приказов, постановлений)</t>
  </si>
  <si>
    <t>Профессия или должность</t>
  </si>
  <si>
    <t>Норма на 1 работника, шт.</t>
  </si>
  <si>
    <t>Срок носки, лет</t>
  </si>
  <si>
    <t>Кол-во персонала, чел.</t>
  </si>
  <si>
    <t>Имеется в наличии, шт</t>
  </si>
  <si>
    <t>Необходимо приобрести, шт.</t>
  </si>
  <si>
    <t>Цена, руб.</t>
  </si>
  <si>
    <t>Сумма  руб.</t>
  </si>
  <si>
    <t>в т.ч. Истекает срок в 2016 г.</t>
  </si>
  <si>
    <t>Итого по должности, руб.</t>
  </si>
  <si>
    <t>№541н, п.84</t>
  </si>
  <si>
    <t>Рабочий по комплексн.обслуживанию и ремонту зданий (уборщик производственных и служебных помещений)</t>
  </si>
  <si>
    <t>Халат</t>
  </si>
  <si>
    <t>Рукавицы комбинированные</t>
  </si>
  <si>
    <t>Перчатки резиновые</t>
  </si>
  <si>
    <t>Сапоги резиновые</t>
  </si>
  <si>
    <t>№541н, п.20</t>
  </si>
  <si>
    <t>Дворник</t>
  </si>
  <si>
    <t>Костюм хлобчатобумажный</t>
  </si>
  <si>
    <t>Телогрейка ватная</t>
  </si>
  <si>
    <t>Валенки с прорезиненной подошвой</t>
  </si>
  <si>
    <t>Плащ непромокаемый</t>
  </si>
  <si>
    <t>Фартук с нагрудником прорезиненый</t>
  </si>
  <si>
    <t>Рукавицы с комбинированные</t>
  </si>
  <si>
    <t>№541н, п 46</t>
  </si>
  <si>
    <t>Машинист по стирке и ремонту спец. одежды</t>
  </si>
  <si>
    <t>Фартук с нагрудником хлобчатобумажный</t>
  </si>
  <si>
    <t>№68, п.23</t>
  </si>
  <si>
    <t>Шеф-повар, повар</t>
  </si>
  <si>
    <t xml:space="preserve">Колпак хлобчатобумажный </t>
  </si>
  <si>
    <t>Передник хлобчатобумажный</t>
  </si>
  <si>
    <t>№65, п1, приложение 2</t>
  </si>
  <si>
    <t>Врач, средний и младший медицинский персонал</t>
  </si>
  <si>
    <t>Итого</t>
  </si>
  <si>
    <t>Обязательное страхование</t>
  </si>
  <si>
    <t>Расчет стоимости ОСАГО Страхователь - КГКУ "Сосновоборский детский дом"</t>
  </si>
  <si>
    <t>Марка, модель</t>
  </si>
  <si>
    <t>Регистрац.номер</t>
  </si>
  <si>
    <t>Базовая ставка</t>
  </si>
  <si>
    <t>Корректирующие коэффициенты</t>
  </si>
  <si>
    <t>место регистрации ТС</t>
  </si>
  <si>
    <t>отсут.,наличие страховых выплат</t>
  </si>
  <si>
    <t>неограниченное исп-е ТС</t>
  </si>
  <si>
    <t>мощность</t>
  </si>
  <si>
    <t>Итого страховая премия в руб.</t>
  </si>
  <si>
    <t>ТС для перевозки детей 222335 PEGEOUT</t>
  </si>
  <si>
    <t>М219МК124</t>
  </si>
  <si>
    <t>ВАЗ 211540</t>
  </si>
  <si>
    <t>Н328УР124</t>
  </si>
  <si>
    <t>2018-2020год: 1736,15руб.*52чел,*1 раз</t>
  </si>
  <si>
    <t>2018-2020год: 3402руб.*2чел,*3 раз</t>
  </si>
  <si>
    <t>Демеркулизация отработанных ртутьсодержащих ламп</t>
  </si>
  <si>
    <t>ед.изм.</t>
  </si>
  <si>
    <t>Кол-во</t>
  </si>
  <si>
    <t>Ст-ть</t>
  </si>
  <si>
    <t>Всего:</t>
  </si>
  <si>
    <t>Обезвреживание (демеркулизация) ртутьсодержащих отходов 1 Класса опасности</t>
  </si>
  <si>
    <t>лампа</t>
  </si>
  <si>
    <t>2018-2020год:270руб.*40чел,*3раза</t>
  </si>
  <si>
    <t>2018год:1980,68руб.*618,1Гкал (тариф 2018 года)</t>
  </si>
  <si>
    <t>2018год:38,88руб.*1663,3куб.м.(тариф 2018 года)</t>
  </si>
  <si>
    <t>2018год:16,45руб.*2292,63куб.м.(тариф 2018 года)</t>
  </si>
  <si>
    <t>2018год:18,04руб.*3943,70куб.м.(тариф 2018 года)</t>
  </si>
  <si>
    <t>20000-цикличное меню; обучение по программе повышения квалификации -15800; обучение по дополнительной профессиональной программе -18000; обучение по охране труда - 4600: подготовка аудита по пожарной безопасности (50000руб*1раз)</t>
  </si>
  <si>
    <t>тех.обслуживание мед.техники 31353,24; зарядка огнетушителей 8477,2; 10000-тех.обслуживание оргтехники (5000*2кв); 6000 - ттех.обслуживание ДЦ АвтоГраф (500*12шт); 10680 - автоклавирование</t>
  </si>
  <si>
    <t>33600*1маш</t>
  </si>
  <si>
    <t>2018-2020год: 5000руб*1 раз</t>
  </si>
  <si>
    <t>вид расходов 243 статья 226</t>
  </si>
  <si>
    <t>вид расходов 243 статья 225</t>
  </si>
  <si>
    <t>2018-2020год: 12151,25руб*40чел.</t>
  </si>
  <si>
    <t>2018-2020год:686,496руб*40чел.</t>
  </si>
  <si>
    <t>60777,33*12мес</t>
  </si>
  <si>
    <t>2018-2020год: паспорт 2чел*180; выпускники 3чел*180</t>
  </si>
  <si>
    <r>
      <t xml:space="preserve">ПОДСТАТЬЯ </t>
    </r>
    <r>
      <rPr>
        <sz val="14"/>
        <rFont val="Times New Roman"/>
        <family val="1"/>
      </rPr>
      <t>212</t>
    </r>
  </si>
  <si>
    <t>ПРОЧИЕ ВЫПЛАТЫ</t>
  </si>
  <si>
    <t>2018-2020 гг</t>
  </si>
  <si>
    <t>Н.С. Прохорова</t>
  </si>
  <si>
    <t>2018-2020 гг.</t>
  </si>
  <si>
    <t>2018-2020гг.</t>
  </si>
  <si>
    <t>Медикаменты, перевязочные средства</t>
  </si>
  <si>
    <t>и прочие лечебные расходы</t>
  </si>
  <si>
    <t>Ед.изм.</t>
  </si>
  <si>
    <t>Адреналин р-р 0,1% 1.0 №5</t>
  </si>
  <si>
    <t>Азитромицин 250 мг.кап. 6 шт.</t>
  </si>
  <si>
    <t>Альмагель 170мл</t>
  </si>
  <si>
    <t>Амброксол сироп</t>
  </si>
  <si>
    <t>Амброксол таб.0,03 N20</t>
  </si>
  <si>
    <t>Амоксициллин таб.0,25 N20</t>
  </si>
  <si>
    <t>Азитромицин 500мг. Таб.</t>
  </si>
  <si>
    <t>Анальгин р-р 50% амп. 1 мл. № 10</t>
  </si>
  <si>
    <t>Анаферон таб. детский</t>
  </si>
  <si>
    <t>Аскорбиновая к-та  др.</t>
  </si>
  <si>
    <t>Аскорбиновая к-та пор.</t>
  </si>
  <si>
    <t>упак.</t>
  </si>
  <si>
    <t>Аскорил сироп 100мл</t>
  </si>
  <si>
    <t>АТФ, 1,0, №10</t>
  </si>
  <si>
    <t>Бромгексин таб. 8 млг №50</t>
  </si>
  <si>
    <t>Гопантам таб. 0,25 №50</t>
  </si>
  <si>
    <t>Глицин форте</t>
  </si>
  <si>
    <t>Диазолин драже 0,1 N10</t>
  </si>
  <si>
    <t>Димедрол р-р 1% амп.1мл N10</t>
  </si>
  <si>
    <t>Зодак капли для приема внутрь 20,0</t>
  </si>
  <si>
    <t>Дротаверин таб. 0,04 № 50</t>
  </si>
  <si>
    <t>Ингалипт,аэрозоль,баллон, 30мл</t>
  </si>
  <si>
    <t>Ибуфен сироп</t>
  </si>
  <si>
    <t>Инфузионная система Latex Free</t>
  </si>
  <si>
    <t>Кетанов таб.0,01 N10</t>
  </si>
  <si>
    <t>Клей БФ-6 10г</t>
  </si>
  <si>
    <t xml:space="preserve">Лазалван р-р для ингаляций 100мл </t>
  </si>
  <si>
    <t>Люголь спрей 100мл</t>
  </si>
  <si>
    <t>Магнелиз В6  50таб.</t>
  </si>
  <si>
    <t>Мазь оксалиновая, 15г</t>
  </si>
  <si>
    <t>Мезим форте</t>
  </si>
  <si>
    <t>Олазоль аэр.бал.80,0</t>
  </si>
  <si>
    <t>Парацетамол сироп</t>
  </si>
  <si>
    <t>Пантокальцин, таб. 0,25 №30</t>
  </si>
  <si>
    <t>Папаверина гидрохлорид р-р 2% 2мл N10</t>
  </si>
  <si>
    <t>Папаверина гидрохлорид таб.0,04 N10</t>
  </si>
  <si>
    <t>Парацетамол таб.0,5 N10</t>
  </si>
  <si>
    <t>Пара плюс</t>
  </si>
  <si>
    <t>Пирацетам 0,4 № 60</t>
  </si>
  <si>
    <t>Пустырник таб.№10</t>
  </si>
  <si>
    <t>Преднизолон р-р 0,03/мл амп.N3</t>
  </si>
  <si>
    <t>Ревит драже №100</t>
  </si>
  <si>
    <t>Сбор витаминный 50гр</t>
  </si>
  <si>
    <t xml:space="preserve">Калия иодид таб. 200мг </t>
  </si>
  <si>
    <t>Пертуссин сироп,100 мл</t>
  </si>
  <si>
    <t>Анисептический раствор 100 мл 70%</t>
  </si>
  <si>
    <t>Синекод р-р 200,0</t>
  </si>
  <si>
    <t>Солодка сироп, 100мл</t>
  </si>
  <si>
    <t>Соль д/ванн морская природная, 1кг</t>
  </si>
  <si>
    <t>Отипакс .капли ушн. Фл.</t>
  </si>
  <si>
    <t>уп</t>
  </si>
  <si>
    <t>Софрадекс капли глазн./ушн.фл.5мл</t>
  </si>
  <si>
    <t xml:space="preserve">Спасатель мазь </t>
  </si>
  <si>
    <t>Супрастин р-р 0,02/мл амп.N5</t>
  </si>
  <si>
    <t>Супрастин таб.0,025  N20</t>
  </si>
  <si>
    <t>Тенотен детский таб№40</t>
  </si>
  <si>
    <t>Фарингосепт таб№20</t>
  </si>
  <si>
    <t>Фенибут №20</t>
  </si>
  <si>
    <t>Флемоксин 500млг таб №20</t>
  </si>
  <si>
    <t>Ципралет таб 250мг №10</t>
  </si>
  <si>
    <t>Неулептил капс10 мг. №50</t>
  </si>
  <si>
    <t>Нафтизин,капли</t>
  </si>
  <si>
    <t>Називин, капли наз.</t>
  </si>
  <si>
    <t>Анисептический раствор 100 мл 95%</t>
  </si>
  <si>
    <t>Грандаксин 50 №30</t>
  </si>
  <si>
    <t>Сонапакс драже 0,25 N60</t>
  </si>
  <si>
    <t>Раствор Фул Маркс,спрей</t>
  </si>
  <si>
    <t>Иода р-р спиртовый 25мл</t>
  </si>
  <si>
    <t>Уголь активированный таб 250мг</t>
  </si>
  <si>
    <t>Полидекса, капли ушн.</t>
  </si>
  <si>
    <t>Биопарокс, аэроз.</t>
  </si>
  <si>
    <t>Гексорал ,аэрозоль 0,2% 40 мл</t>
  </si>
  <si>
    <t>Фезам.таб. №50</t>
  </si>
  <si>
    <t>Бинт нестерильный 5м х 10см</t>
  </si>
  <si>
    <t>Бахилы одноразовые №100</t>
  </si>
  <si>
    <t>Бинт нестерильный 7м х 14см</t>
  </si>
  <si>
    <t>Бинт стерильный 5м х 10см</t>
  </si>
  <si>
    <t>Вата нестерильная хирургическая 250,0</t>
  </si>
  <si>
    <t>Лейкопластырь бактериц. 7,2см х 1,9см</t>
  </si>
  <si>
    <t>Лейкопластырь на тканев. основе 2*500см</t>
  </si>
  <si>
    <t>Марля медицинская 5м пакет</t>
  </si>
  <si>
    <t>Перчатки хирург. стерильные р-р 7</t>
  </si>
  <si>
    <t>Перчатки хирург. нестер.  р-р 7,5</t>
  </si>
  <si>
    <t>Шприц  однораз. с иглой 3-х компонент.10,0</t>
  </si>
  <si>
    <t>Шприц  однораз. с иглой 3-х компонент. 20,0</t>
  </si>
  <si>
    <t>Шприц однораз. с иглой 3-х компонент. 2,0</t>
  </si>
  <si>
    <t>щт</t>
  </si>
  <si>
    <t>Шприц однораз. с иглой 3-х компонент. 5,0</t>
  </si>
  <si>
    <t>Емкость  для утилизации игл</t>
  </si>
  <si>
    <t>Маска процедурная №50</t>
  </si>
  <si>
    <t>Напальчники</t>
  </si>
  <si>
    <t>Очки коррегирующие</t>
  </si>
  <si>
    <t>Пакеты для сбора и хранения отходов класса "А"</t>
  </si>
  <si>
    <t>Пакеты для сбора и хранения отходов класса "Б"</t>
  </si>
  <si>
    <t>Пакеты для стерилизации 14*25 см самозапечатывающиеся</t>
  </si>
  <si>
    <t>Салфетки спиртовые однораз.(100 шт)</t>
  </si>
  <si>
    <t xml:space="preserve">Вермокс таб </t>
  </si>
  <si>
    <t>Шпатель деревянный стерильный №100</t>
  </si>
  <si>
    <t>Фуразолидон таб№10</t>
  </si>
  <si>
    <t>Кетак-маляр пломбир.мат. хим отвержд.</t>
  </si>
  <si>
    <t>Контейнер КДС на 4л</t>
  </si>
  <si>
    <t>Гидроперит таб №8</t>
  </si>
  <si>
    <t>Щиток для защиты лица</t>
  </si>
  <si>
    <t>Мышьяковистая паста проланг. действ.</t>
  </si>
  <si>
    <t>Оплата горюче-смазочных материалов</t>
  </si>
  <si>
    <t>2017г.</t>
  </si>
  <si>
    <t>Расчет бензина:</t>
  </si>
  <si>
    <t>Марка автомобиля</t>
  </si>
  <si>
    <t>Вид топлива (марка)</t>
  </si>
  <si>
    <t>Годовой пробег (по факту 2015 г.), км, моточасы</t>
  </si>
  <si>
    <t>Норма расхода на 100 км, л</t>
  </si>
  <si>
    <t>Расход в зимний период (5,5 мес.), л</t>
  </si>
  <si>
    <t>Расход в летний период (6,5 мес.), л</t>
  </si>
  <si>
    <t>Всего в год по расчету, л</t>
  </si>
  <si>
    <t>Всего в год на командировки, л</t>
  </si>
  <si>
    <t>Итого в год, л</t>
  </si>
  <si>
    <t>Цена за 1 л, руб.</t>
  </si>
  <si>
    <t>Сумма в год, руб.</t>
  </si>
  <si>
    <t>АИ-92</t>
  </si>
  <si>
    <t>ГАЗ 322122</t>
  </si>
  <si>
    <t>ТС 222335</t>
  </si>
  <si>
    <t>ДТ</t>
  </si>
  <si>
    <t>Расчет смазочных материалов:</t>
  </si>
  <si>
    <t>Кол-во бензина, л</t>
  </si>
  <si>
    <t>Норма расхода на 100 л бензина, л</t>
  </si>
  <si>
    <t>Расход в год, л</t>
  </si>
  <si>
    <t>моторные масла</t>
  </si>
  <si>
    <t>трансмиссионные масла</t>
  </si>
  <si>
    <t>специальные жидкости</t>
  </si>
  <si>
    <t>Итого по статье:</t>
  </si>
  <si>
    <t>С.В.Филькина</t>
  </si>
  <si>
    <t>Альбом для рисования  А4, 20 листов</t>
  </si>
  <si>
    <t>Альбом для рисования  А4, 40 листов</t>
  </si>
  <si>
    <t>Ватман; А1</t>
  </si>
  <si>
    <t>лист</t>
  </si>
  <si>
    <t>Дневник для младших классов</t>
  </si>
  <si>
    <t>Дневник для старших класов</t>
  </si>
  <si>
    <t>Карандаш черно-графитный; ТМ</t>
  </si>
  <si>
    <t>Карандаши цветные (набор 12 цветов)</t>
  </si>
  <si>
    <t>Клей-карандаш 8гр.</t>
  </si>
  <si>
    <t>Краски (гуашь), 12 цв х 20 мл</t>
  </si>
  <si>
    <t>пачка</t>
  </si>
  <si>
    <t>Ластик для карандашей</t>
  </si>
  <si>
    <t>Линейка (пластм.), 30 см</t>
  </si>
  <si>
    <t>Линейка (пластм.), 20 см</t>
  </si>
  <si>
    <t>Тетрадь общая, А5, клетка, 48 л</t>
  </si>
  <si>
    <t>Набор цветных шариковых ручек, 10 шт.</t>
  </si>
  <si>
    <t xml:space="preserve">Ножницы канцелярские </t>
  </si>
  <si>
    <t>Ножницы канцелярские с круглым концами</t>
  </si>
  <si>
    <t>Пенал школьный 5-11 кл</t>
  </si>
  <si>
    <t>Пенал школьный 1-5 кл</t>
  </si>
  <si>
    <t>Папка для труда</t>
  </si>
  <si>
    <t>Пластилин 8 цветов, 160 гр</t>
  </si>
  <si>
    <t>Ручка шариковая, синий стержень</t>
  </si>
  <si>
    <t>Тетрадь школьная, А5, линейка,12 л</t>
  </si>
  <si>
    <t>Тетрадь школьная, А5,косая  линейка,12 л</t>
  </si>
  <si>
    <t>Тетрадь школьная, А5, клетка, 12 л</t>
  </si>
  <si>
    <t>Тетрадь школьная, А5,крупная  клетка, 12 л</t>
  </si>
  <si>
    <t>Тетрадь школьная, А5, линейка, 18 л</t>
  </si>
  <si>
    <t>Тетрадь школьная, А5, клетка, 18 л</t>
  </si>
  <si>
    <t>Тетрадь общая, А5, клетка, 96 л</t>
  </si>
  <si>
    <t>Точилка для карандашей</t>
  </si>
  <si>
    <t>Транспортир, 10 см</t>
  </si>
  <si>
    <t>Треугольник (пластик)</t>
  </si>
  <si>
    <t xml:space="preserve">Цветная бумага набор </t>
  </si>
  <si>
    <t>Циркуль</t>
  </si>
  <si>
    <t>ВСЕГО:</t>
  </si>
  <si>
    <t>Ед. изм.</t>
  </si>
  <si>
    <t>Цена,        руб.</t>
  </si>
  <si>
    <t>Сумма,   руб.</t>
  </si>
  <si>
    <t>Бумага для множительной технике</t>
  </si>
  <si>
    <t>Клей-карандаш 20 г</t>
  </si>
  <si>
    <t>Корректор жидкий 20 мл</t>
  </si>
  <si>
    <t>Скобы для степлеров № 10 (1000шт)</t>
  </si>
  <si>
    <t>Скобы для степлеров № 24 (1000шт)</t>
  </si>
  <si>
    <t>Файлы А4</t>
  </si>
  <si>
    <t>Тетрадь общая, А4, клетка, 96 л на кольцах</t>
  </si>
  <si>
    <t xml:space="preserve">Дырокол </t>
  </si>
  <si>
    <t>Приобретение моющих средств для кухонной посуды, инвентаря</t>
  </si>
  <si>
    <t>Средства для мытья посуды 500мл</t>
  </si>
  <si>
    <t>Средство чистящее для посуды 400-500мл</t>
  </si>
  <si>
    <t>кг.</t>
  </si>
  <si>
    <t>Сода кальцинированная 500 гр.</t>
  </si>
  <si>
    <t>Мыло для мытья рук персонала</t>
  </si>
  <si>
    <t>Мыло жидкое 5 литров</t>
  </si>
  <si>
    <t>шт.</t>
  </si>
  <si>
    <t>Средства для уборки помещений</t>
  </si>
  <si>
    <t>Средство чистящее для сантехники 400-500 мл</t>
  </si>
  <si>
    <t>Средство для мытья стекол с курком 500 мл.</t>
  </si>
  <si>
    <t>Порошок, мыло для стирки белья</t>
  </si>
  <si>
    <t>Мыло хозяйственное 300 гр., 65% ГОСТ 30266-95</t>
  </si>
  <si>
    <t>Порошок стиральный для автоматической стирки белья 4 кг.</t>
  </si>
  <si>
    <t xml:space="preserve">Порошок стиральный для ручной стирки белья 900гр. </t>
  </si>
  <si>
    <t>Жидкость для отбеливания с хлором 1л</t>
  </si>
  <si>
    <t>Приобретение средств личной гигиены для воспитанников, проживающих в учреждениях</t>
  </si>
  <si>
    <t xml:space="preserve">Зубная щетка для взрослых с искусс. щетиной </t>
  </si>
  <si>
    <t>Зубная щетка для детей с искусс. Щетиной</t>
  </si>
  <si>
    <t xml:space="preserve">Зубная паста 50гр </t>
  </si>
  <si>
    <t xml:space="preserve">Зубная паста 100 гр </t>
  </si>
  <si>
    <t>Пакеты гигиенические женские нормал "Ола" с крылышками (10 шт.)</t>
  </si>
  <si>
    <t>Салфетки бумажные 100л белые 25х25см</t>
  </si>
  <si>
    <t>Шампунь для всех типов волос 1 литр</t>
  </si>
  <si>
    <t>литры</t>
  </si>
  <si>
    <t>Расческа без ручки</t>
  </si>
  <si>
    <t>Расческа с ручкой</t>
  </si>
  <si>
    <t xml:space="preserve">Мыло детское 200гр </t>
  </si>
  <si>
    <t>Бумага туалетная 55м без втулки</t>
  </si>
  <si>
    <t>Канц. товары для детей-сирот 2018-2020гг.</t>
  </si>
  <si>
    <t>Канцелярские товары для сотрудников на 2018-2020 гг.</t>
  </si>
  <si>
    <t>Период</t>
  </si>
  <si>
    <t>Электроэнергия</t>
  </si>
  <si>
    <t>Теплоэнергия</t>
  </si>
  <si>
    <t>Итого теплоэнергия, руб.</t>
  </si>
  <si>
    <t>Вода</t>
  </si>
  <si>
    <t>Стоки</t>
  </si>
  <si>
    <t>Итого вода, стоки, руб.</t>
  </si>
  <si>
    <t>Итого, руб.</t>
  </si>
  <si>
    <t>по нерегулируемым ценам</t>
  </si>
  <si>
    <t>горячая вода (компонент на тепловую энергию)</t>
  </si>
  <si>
    <t>горячая вода (компонент на теплоноситель)</t>
  </si>
  <si>
    <t>Очистка сточных вод</t>
  </si>
  <si>
    <t>Объём, МВт.ч</t>
  </si>
  <si>
    <t>Тариф с НДС, руб.</t>
  </si>
  <si>
    <t>Объём, Гкал</t>
  </si>
  <si>
    <t>Тариф с НДС руб.</t>
  </si>
  <si>
    <t>Объём, м3</t>
  </si>
  <si>
    <t>Январь</t>
  </si>
  <si>
    <t>Февраль</t>
  </si>
  <si>
    <t>Март</t>
  </si>
  <si>
    <t>Итого за 1 квартал:</t>
  </si>
  <si>
    <t>Апрель</t>
  </si>
  <si>
    <t>Май</t>
  </si>
  <si>
    <t>Июнь</t>
  </si>
  <si>
    <t>Итого за 2 квартал:</t>
  </si>
  <si>
    <t>Июль</t>
  </si>
  <si>
    <t>Август</t>
  </si>
  <si>
    <t>Сентябрь</t>
  </si>
  <si>
    <t>Итого за 3 квартал:</t>
  </si>
  <si>
    <t>Октябрь</t>
  </si>
  <si>
    <t>Ноябрь</t>
  </si>
  <si>
    <t>Декабрь</t>
  </si>
  <si>
    <t>Итого за 4 квартал:</t>
  </si>
  <si>
    <t>План 2018 - 2020 гг.</t>
  </si>
  <si>
    <t>на 01.07.2017</t>
  </si>
  <si>
    <t>всего 19</t>
  </si>
  <si>
    <t>Расходные материалы к средствам автомотизации 2016г.</t>
  </si>
  <si>
    <t>Картридж  HR LI R1102/P1 102w</t>
  </si>
  <si>
    <t>Картридж Sharp AR-52T1</t>
  </si>
  <si>
    <t>Картридж  HR LaserJet 1018</t>
  </si>
  <si>
    <t>Тонер-картридж SHARP AR-152 T/AR-168T/AR5415</t>
  </si>
  <si>
    <t>КГКУ "Сосновоборский детский дом"</t>
  </si>
  <si>
    <t>ФАКТ 2016 ГОДА</t>
  </si>
  <si>
    <t>Теплоноситель</t>
  </si>
  <si>
    <t>Объём, Мвтч</t>
  </si>
  <si>
    <t>УТОЧНЕННЫЙ ПЛАН 2017 ГОДА</t>
  </si>
  <si>
    <t>Месяц</t>
  </si>
  <si>
    <t xml:space="preserve">Квартал </t>
  </si>
  <si>
    <t>Фактические расходы оплаты за связь на 2011 год</t>
  </si>
  <si>
    <t>осн</t>
  </si>
  <si>
    <t>ИТОГО, руб. с НДС</t>
  </si>
  <si>
    <t>сумма в год с НДС, руб.</t>
  </si>
  <si>
    <t>ст-ть мин. за междугород.разг, руб.</t>
  </si>
  <si>
    <t>кол-во междугород.мин. в год</t>
  </si>
  <si>
    <t>Количество телефонов междугород.</t>
  </si>
  <si>
    <t>сумма в год, с НДС руб.</t>
  </si>
  <si>
    <t>соеденение без набора номера, с НДС руб. за год</t>
  </si>
  <si>
    <t>расшифровка разговоров, с НДС руб.за год</t>
  </si>
  <si>
    <t>соеденение без набора номера, руб.</t>
  </si>
  <si>
    <t>тариф за расшифровку разговоров, руб.</t>
  </si>
  <si>
    <t>тариф за польз.абн.линии с инд.схемой , руб.</t>
  </si>
  <si>
    <t>тариф за абон.система осн.ном., руб.</t>
  </si>
  <si>
    <t>кол-во осн.+осн. с доп. тел.</t>
  </si>
  <si>
    <t>сумма в год, руб.</t>
  </si>
  <si>
    <t>Предоставление внутризонового соединения  руб.</t>
  </si>
  <si>
    <t>тариф за 1 мин., руб.</t>
  </si>
  <si>
    <t>кол-во мин. в год</t>
  </si>
  <si>
    <t>Расшифровка расчета оплаты за связь 221 статья</t>
  </si>
  <si>
    <t>сверьте с ПНО</t>
  </si>
  <si>
    <t>откуда ? По ПНО всего 19 чел</t>
  </si>
  <si>
    <r>
      <t>в т.ч. количество дето-дней нахождения в оздоровительном лагере</t>
    </r>
    <r>
      <rPr>
        <sz val="12"/>
        <rFont val="Times New Roman"/>
        <family val="1"/>
      </rPr>
      <t>: С чел. * Х день =      0 чел.* 21  дня=</t>
    </r>
  </si>
  <si>
    <r>
      <t>в т.ч. количество дето-дней нахождения в оздоровительном лагере</t>
    </r>
    <r>
      <rPr>
        <sz val="12"/>
        <rFont val="Times New Roman"/>
        <family val="1"/>
      </rPr>
      <t>: С чел. * Х день =  19 чел.*21 дня=399</t>
    </r>
  </si>
  <si>
    <t>2018-2020год:146,77руб*365дней*8чел</t>
  </si>
  <si>
    <t>2018-2020год:14,68руб*152дней*8чел</t>
  </si>
  <si>
    <t>2018-2020год:229,12руб*346дней*32чел</t>
  </si>
  <si>
    <t>2018-2020год:22,91руб*133дней*32чел</t>
  </si>
  <si>
    <r>
      <t xml:space="preserve"> в т.ч. количество дето-дней в </t>
    </r>
    <r>
      <rPr>
        <b/>
        <sz val="12"/>
        <color indexed="10"/>
        <rFont val="Times New Roman"/>
        <family val="1"/>
      </rPr>
      <t>патронатных семьях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>: 624</t>
    </r>
  </si>
  <si>
    <r>
      <t>в том числе воскресные, каникулярные и праздничные дни в патронатных семьях:</t>
    </r>
    <r>
      <rPr>
        <sz val="12"/>
        <rFont val="Times New Roman"/>
        <family val="1"/>
      </rPr>
      <t xml:space="preserve">   504                      </t>
    </r>
  </si>
  <si>
    <t>К.К. Стародубцева</t>
  </si>
  <si>
    <t xml:space="preserve">И.о. Директора </t>
  </si>
  <si>
    <t xml:space="preserve">Т. С. Голдман </t>
  </si>
  <si>
    <t>И.о. Директора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</si>
</sst>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0.000"/>
    <numFmt numFmtId="175" formatCode="?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_ ;\-#,##0.00\ "/>
    <numFmt numFmtId="182" formatCode="#,##0.00\ _₽"/>
    <numFmt numFmtId="183" formatCode="_(* #,##0.00_);_(* \(#,##0.00\);_(* &quot;-&quot;??_);_(@_)"/>
    <numFmt numFmtId="184" formatCode="_-* #,##0.000_р_._-;\-* #,##0.000_р_._-;_-* &quot;-&quot;??_р_._-;_-@_-"/>
  </numFmts>
  <fonts count="97">
    <font>
      <sz val="10"/>
      <name val="Arial Cyr"/>
      <family val="0"/>
    </font>
    <font>
      <sz val="9"/>
      <name val="Times New Roman"/>
      <family val="1"/>
    </font>
    <font>
      <b/>
      <sz val="9"/>
      <color indexed="14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color indexed="14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sz val="10"/>
      <color indexed="14"/>
      <name val="Times New Roman"/>
      <family val="1"/>
    </font>
    <font>
      <b/>
      <sz val="9"/>
      <color indexed="12"/>
      <name val="Times New Roman"/>
      <family val="1"/>
    </font>
    <font>
      <sz val="12"/>
      <color indexed="20"/>
      <name val="Times New Roman"/>
      <family val="1"/>
    </font>
    <font>
      <b/>
      <i/>
      <u val="single"/>
      <sz val="12"/>
      <color indexed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u val="single"/>
      <sz val="10"/>
      <color indexed="14"/>
      <name val="Times New Roman"/>
      <family val="1"/>
    </font>
    <font>
      <b/>
      <u val="single"/>
      <sz val="9"/>
      <color indexed="14"/>
      <name val="Times New Roman"/>
      <family val="1"/>
    </font>
    <font>
      <b/>
      <u val="single"/>
      <sz val="8"/>
      <color indexed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2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u val="singleAccounting"/>
      <sz val="11"/>
      <name val="Times New Roman"/>
      <family val="1"/>
    </font>
    <font>
      <i/>
      <sz val="10"/>
      <name val="Arial Cyr"/>
      <family val="0"/>
    </font>
    <font>
      <sz val="12"/>
      <color indexed="14"/>
      <name val="Times New Roman"/>
      <family val="1"/>
    </font>
    <font>
      <b/>
      <sz val="12"/>
      <name val="Arial"/>
      <family val="2"/>
    </font>
    <font>
      <b/>
      <i/>
      <sz val="7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i/>
      <u val="single"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7"/>
      <color indexed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7"/>
      <color theme="1"/>
      <name val="Calibri"/>
      <family val="2"/>
    </font>
    <font>
      <sz val="7"/>
      <color theme="1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thin"/>
      <bottom style="dashed"/>
    </border>
    <border>
      <left/>
      <right/>
      <top style="dashed"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30" fillId="0" borderId="0">
      <alignment/>
      <protection/>
    </xf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1127">
    <xf numFmtId="0" fontId="0" fillId="0" borderId="0" xfId="0" applyAlignment="1">
      <alignment/>
    </xf>
    <xf numFmtId="4" fontId="1" fillId="0" borderId="10" xfId="0" applyNumberFormat="1" applyFont="1" applyFill="1" applyBorder="1" applyAlignment="1" applyProtection="1">
      <alignment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hidden="1"/>
    </xf>
    <xf numFmtId="4" fontId="1" fillId="0" borderId="13" xfId="0" applyNumberFormat="1" applyFont="1" applyFill="1" applyBorder="1" applyAlignment="1" applyProtection="1">
      <alignment wrapText="1"/>
      <protection locked="0"/>
    </xf>
    <xf numFmtId="4" fontId="1" fillId="0" borderId="14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justify" wrapText="1"/>
    </xf>
    <xf numFmtId="0" fontId="1" fillId="0" borderId="0" xfId="0" applyFont="1" applyFill="1" applyAlignment="1">
      <alignment horizontal="center" vertical="center" wrapText="1"/>
    </xf>
    <xf numFmtId="4" fontId="3" fillId="0" borderId="15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justify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4" fontId="1" fillId="0" borderId="18" xfId="0" applyNumberFormat="1" applyFont="1" applyFill="1" applyBorder="1" applyAlignment="1" applyProtection="1">
      <alignment wrapText="1"/>
      <protection locked="0"/>
    </xf>
    <xf numFmtId="4" fontId="1" fillId="0" borderId="19" xfId="0" applyNumberFormat="1" applyFont="1" applyFill="1" applyBorder="1" applyAlignment="1" applyProtection="1">
      <alignment wrapText="1"/>
      <protection locked="0"/>
    </xf>
    <xf numFmtId="4" fontId="1" fillId="0" borderId="20" xfId="0" applyNumberFormat="1" applyFont="1" applyFill="1" applyBorder="1" applyAlignment="1" applyProtection="1">
      <alignment wrapText="1"/>
      <protection locked="0"/>
    </xf>
    <xf numFmtId="4" fontId="3" fillId="0" borderId="21" xfId="0" applyNumberFormat="1" applyFont="1" applyFill="1" applyBorder="1" applyAlignment="1">
      <alignment wrapText="1"/>
    </xf>
    <xf numFmtId="4" fontId="3" fillId="0" borderId="22" xfId="0" applyNumberFormat="1" applyFont="1" applyFill="1" applyBorder="1" applyAlignment="1">
      <alignment wrapText="1"/>
    </xf>
    <xf numFmtId="0" fontId="13" fillId="0" borderId="23" xfId="0" applyFont="1" applyFill="1" applyBorder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4" xfId="0" applyNumberFormat="1" applyFont="1" applyFill="1" applyBorder="1" applyAlignment="1">
      <alignment wrapText="1"/>
    </xf>
    <xf numFmtId="0" fontId="3" fillId="0" borderId="24" xfId="0" applyFont="1" applyFill="1" applyBorder="1" applyAlignment="1">
      <alignment vertical="justify" wrapText="1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wrapText="1"/>
    </xf>
    <xf numFmtId="4" fontId="1" fillId="0" borderId="14" xfId="0" applyNumberFormat="1" applyFont="1" applyFill="1" applyBorder="1" applyAlignment="1" applyProtection="1">
      <alignment wrapText="1"/>
      <protection hidden="1"/>
    </xf>
    <xf numFmtId="4" fontId="1" fillId="0" borderId="20" xfId="0" applyNumberFormat="1" applyFont="1" applyFill="1" applyBorder="1" applyAlignment="1" applyProtection="1">
      <alignment wrapText="1"/>
      <protection hidden="1"/>
    </xf>
    <xf numFmtId="0" fontId="13" fillId="0" borderId="12" xfId="0" applyFont="1" applyFill="1" applyBorder="1" applyAlignment="1">
      <alignment horizontal="left" vertical="top" wrapText="1"/>
    </xf>
    <xf numFmtId="2" fontId="13" fillId="0" borderId="12" xfId="0" applyNumberFormat="1" applyFont="1" applyFill="1" applyBorder="1" applyAlignment="1">
      <alignment horizontal="left" wrapText="1"/>
    </xf>
    <xf numFmtId="2" fontId="8" fillId="0" borderId="12" xfId="0" applyNumberFormat="1" applyFont="1" applyFill="1" applyBorder="1" applyAlignment="1" applyProtection="1">
      <alignment horizontal="left" wrapText="1"/>
      <protection locked="0"/>
    </xf>
    <xf numFmtId="0" fontId="13" fillId="0" borderId="12" xfId="0" applyFont="1" applyFill="1" applyBorder="1" applyAlignment="1" applyProtection="1">
      <alignment horizontal="left" vertical="top" wrapText="1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>
      <alignment horizontal="center" vertical="justify" wrapText="1"/>
    </xf>
    <xf numFmtId="0" fontId="8" fillId="0" borderId="0" xfId="0" applyFont="1" applyFill="1" applyAlignment="1">
      <alignment horizontal="left" vertical="top" wrapText="1"/>
    </xf>
    <xf numFmtId="4" fontId="3" fillId="0" borderId="21" xfId="0" applyNumberFormat="1" applyFont="1" applyFill="1" applyBorder="1" applyAlignment="1" applyProtection="1">
      <alignment wrapText="1"/>
      <protection locked="0"/>
    </xf>
    <xf numFmtId="4" fontId="3" fillId="0" borderId="22" xfId="0" applyNumberFormat="1" applyFont="1" applyFill="1" applyBorder="1" applyAlignment="1" applyProtection="1">
      <alignment wrapText="1"/>
      <protection locked="0"/>
    </xf>
    <xf numFmtId="0" fontId="1" fillId="0" borderId="24" xfId="0" applyFont="1" applyFill="1" applyBorder="1" applyAlignment="1">
      <alignment horizontal="center" vertical="justify" wrapText="1"/>
    </xf>
    <xf numFmtId="0" fontId="3" fillId="0" borderId="24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center"/>
    </xf>
    <xf numFmtId="0" fontId="8" fillId="0" borderId="26" xfId="0" applyFont="1" applyFill="1" applyBorder="1" applyAlignment="1" applyProtection="1">
      <alignment wrapText="1"/>
      <protection locked="0"/>
    </xf>
    <xf numFmtId="0" fontId="8" fillId="0" borderId="27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10" fillId="0" borderId="26" xfId="0" applyFont="1" applyFill="1" applyBorder="1" applyAlignment="1">
      <alignment wrapText="1"/>
    </xf>
    <xf numFmtId="0" fontId="9" fillId="0" borderId="29" xfId="0" applyFont="1" applyFill="1" applyBorder="1" applyAlignment="1">
      <alignment wrapText="1"/>
    </xf>
    <xf numFmtId="0" fontId="8" fillId="0" borderId="26" xfId="0" applyFont="1" applyFill="1" applyBorder="1" applyAlignment="1" applyProtection="1">
      <alignment wrapText="1"/>
      <protection hidden="1"/>
    </xf>
    <xf numFmtId="0" fontId="8" fillId="0" borderId="28" xfId="0" applyFont="1" applyFill="1" applyBorder="1" applyAlignment="1" applyProtection="1">
      <alignment wrapText="1"/>
      <protection hidden="1"/>
    </xf>
    <xf numFmtId="0" fontId="10" fillId="0" borderId="26" xfId="0" applyFont="1" applyFill="1" applyBorder="1" applyAlignment="1" applyProtection="1">
      <alignment wrapText="1"/>
      <protection/>
    </xf>
    <xf numFmtId="0" fontId="9" fillId="0" borderId="30" xfId="0" applyFont="1" applyFill="1" applyBorder="1" applyAlignment="1">
      <alignment wrapText="1"/>
    </xf>
    <xf numFmtId="174" fontId="1" fillId="0" borderId="0" xfId="0" applyNumberFormat="1" applyFont="1" applyFill="1" applyAlignment="1">
      <alignment horizontal="center" vertical="center" wrapText="1"/>
    </xf>
    <xf numFmtId="174" fontId="1" fillId="0" borderId="0" xfId="0" applyNumberFormat="1" applyFont="1" applyFill="1" applyAlignment="1">
      <alignment horizontal="center" wrapText="1"/>
    </xf>
    <xf numFmtId="174" fontId="1" fillId="0" borderId="31" xfId="0" applyNumberFormat="1" applyFont="1" applyFill="1" applyBorder="1" applyAlignment="1" applyProtection="1">
      <alignment horizontal="center" wrapText="1"/>
      <protection locked="0"/>
    </xf>
    <xf numFmtId="174" fontId="1" fillId="0" borderId="32" xfId="0" applyNumberFormat="1" applyFont="1" applyFill="1" applyBorder="1" applyAlignment="1" applyProtection="1">
      <alignment horizontal="center" wrapText="1"/>
      <protection locked="0"/>
    </xf>
    <xf numFmtId="174" fontId="3" fillId="0" borderId="33" xfId="0" applyNumberFormat="1" applyFont="1" applyFill="1" applyBorder="1" applyAlignment="1">
      <alignment horizontal="center" wrapText="1"/>
    </xf>
    <xf numFmtId="174" fontId="3" fillId="0" borderId="33" xfId="0" applyNumberFormat="1" applyFont="1" applyFill="1" applyBorder="1" applyAlignment="1" applyProtection="1">
      <alignment horizontal="center" wrapText="1"/>
      <protection locked="0"/>
    </xf>
    <xf numFmtId="4" fontId="3" fillId="0" borderId="34" xfId="0" applyNumberFormat="1" applyFont="1" applyFill="1" applyBorder="1" applyAlignment="1">
      <alignment wrapText="1"/>
    </xf>
    <xf numFmtId="0" fontId="8" fillId="0" borderId="35" xfId="0" applyFont="1" applyFill="1" applyBorder="1" applyAlignment="1" applyProtection="1">
      <alignment horizontal="left" vertical="top" wrapText="1"/>
      <protection locked="0"/>
    </xf>
    <xf numFmtId="0" fontId="9" fillId="0" borderId="35" xfId="0" applyFont="1" applyFill="1" applyBorder="1" applyAlignment="1" applyProtection="1">
      <alignment wrapText="1"/>
      <protection locked="0"/>
    </xf>
    <xf numFmtId="0" fontId="9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vertical="justify"/>
    </xf>
    <xf numFmtId="0" fontId="4" fillId="0" borderId="39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vertical="justify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4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8" fillId="0" borderId="29" xfId="0" applyFont="1" applyFill="1" applyBorder="1" applyAlignment="1" applyProtection="1">
      <alignment wrapText="1"/>
      <protection locked="0"/>
    </xf>
    <xf numFmtId="0" fontId="3" fillId="33" borderId="24" xfId="0" applyFont="1" applyFill="1" applyBorder="1" applyAlignment="1">
      <alignment/>
    </xf>
    <xf numFmtId="0" fontId="3" fillId="33" borderId="35" xfId="0" applyFont="1" applyFill="1" applyBorder="1" applyAlignment="1">
      <alignment wrapText="1"/>
    </xf>
    <xf numFmtId="0" fontId="8" fillId="33" borderId="35" xfId="0" applyFont="1" applyFill="1" applyBorder="1" applyAlignment="1" applyProtection="1">
      <alignment wrapText="1"/>
      <protection locked="0"/>
    </xf>
    <xf numFmtId="4" fontId="3" fillId="33" borderId="15" xfId="0" applyNumberFormat="1" applyFont="1" applyFill="1" applyBorder="1" applyAlignment="1">
      <alignment wrapText="1"/>
    </xf>
    <xf numFmtId="4" fontId="1" fillId="33" borderId="21" xfId="0" applyNumberFormat="1" applyFont="1" applyFill="1" applyBorder="1" applyAlignment="1">
      <alignment wrapText="1"/>
    </xf>
    <xf numFmtId="174" fontId="1" fillId="33" borderId="33" xfId="0" applyNumberFormat="1" applyFont="1" applyFill="1" applyBorder="1" applyAlignment="1">
      <alignment horizontal="center" wrapText="1"/>
    </xf>
    <xf numFmtId="4" fontId="1" fillId="33" borderId="22" xfId="0" applyNumberFormat="1" applyFont="1" applyFill="1" applyBorder="1" applyAlignment="1">
      <alignment wrapText="1"/>
    </xf>
    <xf numFmtId="0" fontId="8" fillId="33" borderId="29" xfId="0" applyFont="1" applyFill="1" applyBorder="1" applyAlignment="1">
      <alignment wrapText="1"/>
    </xf>
    <xf numFmtId="4" fontId="1" fillId="0" borderId="18" xfId="0" applyNumberFormat="1" applyFont="1" applyFill="1" applyBorder="1" applyAlignment="1" applyProtection="1">
      <alignment wrapText="1"/>
      <protection hidden="1"/>
    </xf>
    <xf numFmtId="0" fontId="8" fillId="0" borderId="27" xfId="0" applyFont="1" applyFill="1" applyBorder="1" applyAlignment="1" applyProtection="1">
      <alignment wrapText="1"/>
      <protection hidden="1"/>
    </xf>
    <xf numFmtId="0" fontId="1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0" fontId="1" fillId="0" borderId="41" xfId="0" applyFont="1" applyFill="1" applyBorder="1" applyAlignment="1">
      <alignment horizontal="left" vertical="top" wrapText="1"/>
    </xf>
    <xf numFmtId="0" fontId="8" fillId="33" borderId="35" xfId="0" applyFont="1" applyFill="1" applyBorder="1" applyAlignment="1">
      <alignment wrapText="1"/>
    </xf>
    <xf numFmtId="174" fontId="1" fillId="0" borderId="42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174" fontId="17" fillId="0" borderId="0" xfId="0" applyNumberFormat="1" applyFont="1" applyFill="1" applyAlignment="1">
      <alignment horizontal="center" vertical="top"/>
    </xf>
    <xf numFmtId="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4" fontId="1" fillId="0" borderId="43" xfId="0" applyNumberFormat="1" applyFont="1" applyFill="1" applyBorder="1" applyAlignment="1">
      <alignment wrapText="1"/>
    </xf>
    <xf numFmtId="174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wrapText="1"/>
    </xf>
    <xf numFmtId="0" fontId="8" fillId="0" borderId="44" xfId="0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wrapText="1"/>
    </xf>
    <xf numFmtId="0" fontId="17" fillId="0" borderId="0" xfId="0" applyFont="1" applyFill="1" applyAlignment="1">
      <alignment horizontal="left" vertical="top"/>
    </xf>
    <xf numFmtId="0" fontId="1" fillId="0" borderId="4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wrapText="1"/>
    </xf>
    <xf numFmtId="4" fontId="1" fillId="0" borderId="14" xfId="0" applyNumberFormat="1" applyFont="1" applyFill="1" applyBorder="1" applyAlignment="1">
      <alignment wrapText="1"/>
    </xf>
    <xf numFmtId="4" fontId="1" fillId="0" borderId="45" xfId="0" applyNumberFormat="1" applyFont="1" applyFill="1" applyBorder="1" applyAlignment="1">
      <alignment horizontal="center" vertical="center" wrapText="1"/>
    </xf>
    <xf numFmtId="174" fontId="1" fillId="0" borderId="46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35" borderId="47" xfId="0" applyFont="1" applyFill="1" applyBorder="1" applyAlignment="1">
      <alignment/>
    </xf>
    <xf numFmtId="0" fontId="3" fillId="35" borderId="48" xfId="0" applyFont="1" applyFill="1" applyBorder="1" applyAlignment="1">
      <alignment/>
    </xf>
    <xf numFmtId="0" fontId="8" fillId="35" borderId="48" xfId="0" applyFont="1" applyFill="1" applyBorder="1" applyAlignment="1">
      <alignment wrapText="1"/>
    </xf>
    <xf numFmtId="4" fontId="3" fillId="35" borderId="48" xfId="0" applyNumberFormat="1" applyFont="1" applyFill="1" applyBorder="1" applyAlignment="1">
      <alignment wrapText="1"/>
    </xf>
    <xf numFmtId="0" fontId="3" fillId="0" borderId="49" xfId="0" applyFont="1" applyFill="1" applyBorder="1" applyAlignment="1">
      <alignment vertical="justify" wrapText="1"/>
    </xf>
    <xf numFmtId="0" fontId="3" fillId="0" borderId="50" xfId="0" applyFont="1" applyFill="1" applyBorder="1" applyAlignment="1">
      <alignment vertical="justify" wrapText="1"/>
    </xf>
    <xf numFmtId="0" fontId="8" fillId="0" borderId="12" xfId="0" applyFont="1" applyFill="1" applyBorder="1" applyAlignment="1" applyProtection="1">
      <alignment horizontal="left" vertical="top" wrapText="1"/>
      <protection hidden="1"/>
    </xf>
    <xf numFmtId="0" fontId="1" fillId="0" borderId="39" xfId="0" applyFont="1" applyFill="1" applyBorder="1" applyAlignment="1">
      <alignment horizontal="left" vertical="top" wrapText="1"/>
    </xf>
    <xf numFmtId="0" fontId="8" fillId="0" borderId="39" xfId="0" applyFont="1" applyFill="1" applyBorder="1" applyAlignment="1" applyProtection="1">
      <alignment horizontal="left" vertical="top" wrapText="1"/>
      <protection locked="0"/>
    </xf>
    <xf numFmtId="4" fontId="1" fillId="0" borderId="51" xfId="0" applyNumberFormat="1" applyFont="1" applyFill="1" applyBorder="1" applyAlignment="1" applyProtection="1">
      <alignment wrapText="1"/>
      <protection locked="0"/>
    </xf>
    <xf numFmtId="4" fontId="1" fillId="0" borderId="52" xfId="0" applyNumberFormat="1" applyFont="1" applyFill="1" applyBorder="1" applyAlignment="1" applyProtection="1">
      <alignment wrapText="1"/>
      <protection locked="0"/>
    </xf>
    <xf numFmtId="174" fontId="1" fillId="0" borderId="53" xfId="0" applyNumberFormat="1" applyFont="1" applyFill="1" applyBorder="1" applyAlignment="1" applyProtection="1">
      <alignment horizontal="center" wrapText="1"/>
      <protection locked="0"/>
    </xf>
    <xf numFmtId="4" fontId="1" fillId="0" borderId="54" xfId="0" applyNumberFormat="1" applyFont="1" applyFill="1" applyBorder="1" applyAlignment="1" applyProtection="1">
      <alignment wrapText="1"/>
      <protection locked="0"/>
    </xf>
    <xf numFmtId="0" fontId="8" fillId="0" borderId="55" xfId="0" applyFont="1" applyFill="1" applyBorder="1" applyAlignment="1" applyProtection="1">
      <alignment wrapText="1"/>
      <protection locked="0"/>
    </xf>
    <xf numFmtId="0" fontId="3" fillId="33" borderId="49" xfId="0" applyFont="1" applyFill="1" applyBorder="1" applyAlignment="1">
      <alignment/>
    </xf>
    <xf numFmtId="0" fontId="3" fillId="33" borderId="50" xfId="0" applyFont="1" applyFill="1" applyBorder="1" applyAlignment="1">
      <alignment wrapText="1"/>
    </xf>
    <xf numFmtId="0" fontId="8" fillId="33" borderId="50" xfId="0" applyFont="1" applyFill="1" applyBorder="1" applyAlignment="1" applyProtection="1">
      <alignment wrapText="1"/>
      <protection locked="0"/>
    </xf>
    <xf numFmtId="4" fontId="3" fillId="33" borderId="56" xfId="0" applyNumberFormat="1" applyFont="1" applyFill="1" applyBorder="1" applyAlignment="1">
      <alignment wrapText="1"/>
    </xf>
    <xf numFmtId="4" fontId="1" fillId="33" borderId="45" xfId="0" applyNumberFormat="1" applyFont="1" applyFill="1" applyBorder="1" applyAlignment="1">
      <alignment wrapText="1"/>
    </xf>
    <xf numFmtId="174" fontId="1" fillId="33" borderId="46" xfId="0" applyNumberFormat="1" applyFont="1" applyFill="1" applyBorder="1" applyAlignment="1">
      <alignment horizontal="center" wrapText="1"/>
    </xf>
    <xf numFmtId="4" fontId="1" fillId="33" borderId="34" xfId="0" applyNumberFormat="1" applyFont="1" applyFill="1" applyBorder="1" applyAlignment="1">
      <alignment wrapText="1"/>
    </xf>
    <xf numFmtId="0" fontId="8" fillId="33" borderId="30" xfId="0" applyFont="1" applyFill="1" applyBorder="1" applyAlignment="1">
      <alignment wrapText="1"/>
    </xf>
    <xf numFmtId="0" fontId="3" fillId="0" borderId="49" xfId="0" applyFont="1" applyFill="1" applyBorder="1" applyAlignment="1">
      <alignment horizontal="center" vertical="top" wrapText="1"/>
    </xf>
    <xf numFmtId="0" fontId="9" fillId="0" borderId="50" xfId="0" applyFont="1" applyFill="1" applyBorder="1" applyAlignment="1">
      <alignment wrapText="1"/>
    </xf>
    <xf numFmtId="4" fontId="3" fillId="0" borderId="56" xfId="0" applyNumberFormat="1" applyFont="1" applyFill="1" applyBorder="1" applyAlignment="1">
      <alignment wrapText="1"/>
    </xf>
    <xf numFmtId="0" fontId="8" fillId="36" borderId="57" xfId="0" applyFont="1" applyFill="1" applyBorder="1" applyAlignment="1" applyProtection="1">
      <alignment horizontal="left" vertical="top" wrapText="1"/>
      <protection locked="0"/>
    </xf>
    <xf numFmtId="4" fontId="3" fillId="36" borderId="58" xfId="0" applyNumberFormat="1" applyFont="1" applyFill="1" applyBorder="1" applyAlignment="1" applyProtection="1">
      <alignment wrapText="1"/>
      <protection locked="0"/>
    </xf>
    <xf numFmtId="174" fontId="3" fillId="36" borderId="59" xfId="0" applyNumberFormat="1" applyFont="1" applyFill="1" applyBorder="1" applyAlignment="1" applyProtection="1">
      <alignment horizontal="center" wrapText="1"/>
      <protection locked="0"/>
    </xf>
    <xf numFmtId="0" fontId="8" fillId="36" borderId="60" xfId="0" applyFont="1" applyFill="1" applyBorder="1" applyAlignment="1" applyProtection="1">
      <alignment wrapText="1"/>
      <protection locked="0"/>
    </xf>
    <xf numFmtId="0" fontId="8" fillId="36" borderId="55" xfId="0" applyFont="1" applyFill="1" applyBorder="1" applyAlignment="1">
      <alignment wrapText="1"/>
    </xf>
    <xf numFmtId="0" fontId="3" fillId="36" borderId="39" xfId="0" applyFont="1" applyFill="1" applyBorder="1" applyAlignment="1">
      <alignment vertical="justify" wrapText="1"/>
    </xf>
    <xf numFmtId="4" fontId="3" fillId="36" borderId="51" xfId="0" applyNumberFormat="1" applyFont="1" applyFill="1" applyBorder="1" applyAlignment="1">
      <alignment wrapText="1"/>
    </xf>
    <xf numFmtId="0" fontId="8" fillId="0" borderId="23" xfId="0" applyFont="1" applyFill="1" applyBorder="1" applyAlignment="1" applyProtection="1">
      <alignment horizontal="left" vertical="top" wrapText="1"/>
      <protection locked="0"/>
    </xf>
    <xf numFmtId="4" fontId="1" fillId="0" borderId="61" xfId="0" applyNumberFormat="1" applyFont="1" applyFill="1" applyBorder="1" applyAlignment="1" applyProtection="1">
      <alignment wrapText="1"/>
      <protection locked="0"/>
    </xf>
    <xf numFmtId="4" fontId="1" fillId="0" borderId="62" xfId="0" applyNumberFormat="1" applyFont="1" applyFill="1" applyBorder="1" applyAlignment="1" applyProtection="1">
      <alignment wrapText="1"/>
      <protection locked="0"/>
    </xf>
    <xf numFmtId="174" fontId="1" fillId="0" borderId="63" xfId="0" applyNumberFormat="1" applyFont="1" applyFill="1" applyBorder="1" applyAlignment="1" applyProtection="1">
      <alignment horizontal="center" wrapText="1"/>
      <protection locked="0"/>
    </xf>
    <xf numFmtId="0" fontId="8" fillId="0" borderId="64" xfId="0" applyFont="1" applyFill="1" applyBorder="1" applyAlignment="1" applyProtection="1">
      <alignment wrapText="1"/>
      <protection locked="0"/>
    </xf>
    <xf numFmtId="0" fontId="9" fillId="36" borderId="65" xfId="0" applyFont="1" applyFill="1" applyBorder="1" applyAlignment="1">
      <alignment wrapText="1"/>
    </xf>
    <xf numFmtId="4" fontId="3" fillId="36" borderId="66" xfId="0" applyNumberFormat="1" applyFont="1" applyFill="1" applyBorder="1" applyAlignment="1">
      <alignment wrapText="1"/>
    </xf>
    <xf numFmtId="0" fontId="9" fillId="36" borderId="60" xfId="0" applyFont="1" applyFill="1" applyBorder="1" applyAlignment="1">
      <alignment wrapText="1"/>
    </xf>
    <xf numFmtId="0" fontId="9" fillId="0" borderId="50" xfId="0" applyFont="1" applyFill="1" applyBorder="1" applyAlignment="1" applyProtection="1">
      <alignment wrapText="1"/>
      <protection locked="0"/>
    </xf>
    <xf numFmtId="4" fontId="3" fillId="0" borderId="18" xfId="0" applyNumberFormat="1" applyFont="1" applyFill="1" applyBorder="1" applyAlignment="1" applyProtection="1">
      <alignment wrapText="1"/>
      <protection locked="0"/>
    </xf>
    <xf numFmtId="4" fontId="3" fillId="0" borderId="67" xfId="0" applyNumberFormat="1" applyFont="1" applyFill="1" applyBorder="1" applyAlignment="1" applyProtection="1">
      <alignment wrapText="1"/>
      <protection locked="0"/>
    </xf>
    <xf numFmtId="4" fontId="3" fillId="36" borderId="68" xfId="0" applyNumberFormat="1" applyFont="1" applyFill="1" applyBorder="1" applyAlignment="1" applyProtection="1">
      <alignment wrapText="1"/>
      <protection locked="0"/>
    </xf>
    <xf numFmtId="4" fontId="3" fillId="35" borderId="69" xfId="0" applyNumberFormat="1" applyFont="1" applyFill="1" applyBorder="1" applyAlignment="1">
      <alignment wrapText="1"/>
    </xf>
    <xf numFmtId="4" fontId="1" fillId="0" borderId="70" xfId="0" applyNumberFormat="1" applyFont="1" applyFill="1" applyBorder="1" applyAlignment="1">
      <alignment horizontal="center" vertical="center" wrapText="1"/>
    </xf>
    <xf numFmtId="4" fontId="3" fillId="36" borderId="71" xfId="0" applyNumberFormat="1" applyFont="1" applyFill="1" applyBorder="1" applyAlignment="1" applyProtection="1">
      <alignment wrapText="1"/>
      <protection locked="0"/>
    </xf>
    <xf numFmtId="4" fontId="3" fillId="35" borderId="72" xfId="0" applyNumberFormat="1" applyFont="1" applyFill="1" applyBorder="1" applyAlignment="1">
      <alignment wrapText="1"/>
    </xf>
    <xf numFmtId="4" fontId="3" fillId="35" borderId="73" xfId="0" applyNumberFormat="1" applyFont="1" applyFill="1" applyBorder="1" applyAlignment="1">
      <alignment wrapText="1"/>
    </xf>
    <xf numFmtId="4" fontId="1" fillId="0" borderId="74" xfId="0" applyNumberFormat="1" applyFont="1" applyFill="1" applyBorder="1" applyAlignment="1">
      <alignment horizontal="center" vertical="center" wrapText="1"/>
    </xf>
    <xf numFmtId="0" fontId="8" fillId="0" borderId="75" xfId="0" applyFont="1" applyFill="1" applyBorder="1" applyAlignment="1" applyProtection="1">
      <alignment wrapText="1"/>
      <protection locked="0"/>
    </xf>
    <xf numFmtId="0" fontId="8" fillId="0" borderId="26" xfId="0" applyFont="1" applyFill="1" applyBorder="1" applyAlignment="1">
      <alignment wrapText="1"/>
    </xf>
    <xf numFmtId="0" fontId="8" fillId="35" borderId="76" xfId="0" applyFont="1" applyFill="1" applyBorder="1" applyAlignment="1">
      <alignment wrapText="1"/>
    </xf>
    <xf numFmtId="0" fontId="8" fillId="0" borderId="50" xfId="0" applyNumberFormat="1" applyFont="1" applyFill="1" applyBorder="1" applyAlignment="1">
      <alignment horizontal="center" vertical="center" wrapText="1"/>
    </xf>
    <xf numFmtId="0" fontId="8" fillId="0" borderId="56" xfId="0" applyNumberFormat="1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70" xfId="0" applyNumberFormat="1" applyFont="1" applyFill="1" applyBorder="1" applyAlignment="1">
      <alignment horizontal="center" vertical="center" wrapText="1"/>
    </xf>
    <xf numFmtId="0" fontId="8" fillId="0" borderId="74" xfId="0" applyNumberFormat="1" applyFont="1" applyFill="1" applyBorder="1" applyAlignment="1">
      <alignment horizontal="center" vertical="center" wrapText="1"/>
    </xf>
    <xf numFmtId="0" fontId="8" fillId="36" borderId="77" xfId="0" applyFont="1" applyFill="1" applyBorder="1" applyAlignment="1" applyProtection="1">
      <alignment horizontal="left" vertical="top" wrapText="1"/>
      <protection locked="0"/>
    </xf>
    <xf numFmtId="174" fontId="3" fillId="36" borderId="78" xfId="0" applyNumberFormat="1" applyFont="1" applyFill="1" applyBorder="1" applyAlignment="1" applyProtection="1">
      <alignment horizontal="center" wrapText="1"/>
      <protection locked="0"/>
    </xf>
    <xf numFmtId="4" fontId="3" fillId="36" borderId="79" xfId="0" applyNumberFormat="1" applyFont="1" applyFill="1" applyBorder="1" applyAlignment="1" applyProtection="1">
      <alignment wrapText="1"/>
      <protection locked="0"/>
    </xf>
    <xf numFmtId="0" fontId="8" fillId="36" borderId="80" xfId="0" applyFont="1" applyFill="1" applyBorder="1" applyAlignment="1" applyProtection="1">
      <alignment wrapText="1"/>
      <protection locked="0"/>
    </xf>
    <xf numFmtId="4" fontId="3" fillId="36" borderId="81" xfId="0" applyNumberFormat="1" applyFont="1" applyFill="1" applyBorder="1" applyAlignment="1">
      <alignment wrapText="1"/>
    </xf>
    <xf numFmtId="0" fontId="8" fillId="36" borderId="16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>
      <alignment horizontal="left" vertical="top" wrapText="1"/>
    </xf>
    <xf numFmtId="0" fontId="8" fillId="37" borderId="82" xfId="0" applyNumberFormat="1" applyFont="1" applyFill="1" applyBorder="1" applyAlignment="1">
      <alignment horizontal="center" vertical="center" wrapText="1"/>
    </xf>
    <xf numFmtId="0" fontId="8" fillId="37" borderId="21" xfId="0" applyNumberFormat="1" applyFont="1" applyFill="1" applyBorder="1" applyAlignment="1">
      <alignment horizontal="center" vertical="center" wrapText="1"/>
    </xf>
    <xf numFmtId="0" fontId="8" fillId="37" borderId="33" xfId="0" applyNumberFormat="1" applyFont="1" applyFill="1" applyBorder="1" applyAlignment="1">
      <alignment horizontal="center" vertical="center" wrapText="1"/>
    </xf>
    <xf numFmtId="4" fontId="8" fillId="37" borderId="22" xfId="0" applyNumberFormat="1" applyFont="1" applyFill="1" applyBorder="1" applyAlignment="1">
      <alignment horizontal="center" vertical="center" wrapText="1"/>
    </xf>
    <xf numFmtId="4" fontId="8" fillId="37" borderId="67" xfId="0" applyNumberFormat="1" applyFont="1" applyFill="1" applyBorder="1" applyAlignment="1">
      <alignment horizontal="center" vertical="center" wrapText="1"/>
    </xf>
    <xf numFmtId="0" fontId="8" fillId="37" borderId="35" xfId="0" applyFont="1" applyFill="1" applyBorder="1" applyAlignment="1" applyProtection="1">
      <alignment horizontal="left" vertical="top" wrapText="1"/>
      <protection locked="0"/>
    </xf>
    <xf numFmtId="4" fontId="1" fillId="37" borderId="15" xfId="0" applyNumberFormat="1" applyFont="1" applyFill="1" applyBorder="1" applyAlignment="1" applyProtection="1">
      <alignment wrapText="1"/>
      <protection locked="0"/>
    </xf>
    <xf numFmtId="4" fontId="3" fillId="37" borderId="21" xfId="0" applyNumberFormat="1" applyFont="1" applyFill="1" applyBorder="1" applyAlignment="1" applyProtection="1">
      <alignment wrapText="1"/>
      <protection locked="0"/>
    </xf>
    <xf numFmtId="174" fontId="3" fillId="37" borderId="33" xfId="0" applyNumberFormat="1" applyFont="1" applyFill="1" applyBorder="1" applyAlignment="1" applyProtection="1">
      <alignment horizontal="center" wrapText="1"/>
      <protection locked="0"/>
    </xf>
    <xf numFmtId="4" fontId="3" fillId="37" borderId="22" xfId="0" applyNumberFormat="1" applyFont="1" applyFill="1" applyBorder="1" applyAlignment="1" applyProtection="1">
      <alignment wrapText="1"/>
      <protection locked="0"/>
    </xf>
    <xf numFmtId="0" fontId="8" fillId="37" borderId="29" xfId="0" applyFont="1" applyFill="1" applyBorder="1" applyAlignment="1" applyProtection="1">
      <alignment wrapText="1"/>
      <protection locked="0"/>
    </xf>
    <xf numFmtId="0" fontId="3" fillId="37" borderId="35" xfId="0" applyFont="1" applyFill="1" applyBorder="1" applyAlignment="1">
      <alignment vertical="justify" wrapText="1"/>
    </xf>
    <xf numFmtId="4" fontId="3" fillId="37" borderId="15" xfId="0" applyNumberFormat="1" applyFont="1" applyFill="1" applyBorder="1" applyAlignment="1">
      <alignment wrapText="1"/>
    </xf>
    <xf numFmtId="4" fontId="3" fillId="37" borderId="21" xfId="0" applyNumberFormat="1" applyFont="1" applyFill="1" applyBorder="1" applyAlignment="1">
      <alignment wrapText="1"/>
    </xf>
    <xf numFmtId="174" fontId="3" fillId="37" borderId="33" xfId="0" applyNumberFormat="1" applyFont="1" applyFill="1" applyBorder="1" applyAlignment="1">
      <alignment horizontal="center" wrapText="1"/>
    </xf>
    <xf numFmtId="0" fontId="8" fillId="37" borderId="29" xfId="0" applyFont="1" applyFill="1" applyBorder="1" applyAlignment="1">
      <alignment wrapText="1"/>
    </xf>
    <xf numFmtId="0" fontId="8" fillId="37" borderId="83" xfId="0" applyFont="1" applyFill="1" applyBorder="1" applyAlignment="1" applyProtection="1">
      <alignment horizontal="left" vertical="top" wrapText="1"/>
      <protection locked="0"/>
    </xf>
    <xf numFmtId="4" fontId="1" fillId="37" borderId="21" xfId="0" applyNumberFormat="1" applyFont="1" applyFill="1" applyBorder="1" applyAlignment="1" applyProtection="1">
      <alignment wrapText="1"/>
      <protection locked="0"/>
    </xf>
    <xf numFmtId="174" fontId="1" fillId="37" borderId="33" xfId="0" applyNumberFormat="1" applyFont="1" applyFill="1" applyBorder="1" applyAlignment="1" applyProtection="1">
      <alignment horizontal="center" wrapText="1"/>
      <protection locked="0"/>
    </xf>
    <xf numFmtId="4" fontId="1" fillId="37" borderId="22" xfId="0" applyNumberFormat="1" applyFont="1" applyFill="1" applyBorder="1" applyAlignment="1" applyProtection="1">
      <alignment wrapText="1"/>
      <protection locked="0"/>
    </xf>
    <xf numFmtId="0" fontId="12" fillId="0" borderId="23" xfId="0" applyFont="1" applyFill="1" applyBorder="1" applyAlignment="1" applyProtection="1">
      <alignment horizontal="left" vertical="top" wrapText="1"/>
      <protection locked="0"/>
    </xf>
    <xf numFmtId="4" fontId="4" fillId="0" borderId="61" xfId="0" applyNumberFormat="1" applyFont="1" applyFill="1" applyBorder="1" applyAlignment="1">
      <alignment wrapText="1"/>
    </xf>
    <xf numFmtId="4" fontId="4" fillId="0" borderId="62" xfId="0" applyNumberFormat="1" applyFont="1" applyFill="1" applyBorder="1" applyAlignment="1">
      <alignment wrapText="1"/>
    </xf>
    <xf numFmtId="174" fontId="4" fillId="0" borderId="63" xfId="0" applyNumberFormat="1" applyFont="1" applyFill="1" applyBorder="1" applyAlignment="1">
      <alignment horizontal="center" wrapText="1"/>
    </xf>
    <xf numFmtId="4" fontId="4" fillId="0" borderId="54" xfId="0" applyNumberFormat="1" applyFont="1" applyFill="1" applyBorder="1" applyAlignment="1">
      <alignment wrapText="1"/>
    </xf>
    <xf numFmtId="0" fontId="10" fillId="0" borderId="64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justify" wrapText="1"/>
    </xf>
    <xf numFmtId="0" fontId="3" fillId="0" borderId="84" xfId="0" applyFont="1" applyFill="1" applyBorder="1" applyAlignment="1">
      <alignment/>
    </xf>
    <xf numFmtId="0" fontId="1" fillId="0" borderId="85" xfId="0" applyFont="1" applyFill="1" applyBorder="1" applyAlignment="1">
      <alignment wrapText="1"/>
    </xf>
    <xf numFmtId="0" fontId="8" fillId="0" borderId="85" xfId="0" applyFont="1" applyFill="1" applyBorder="1" applyAlignment="1" applyProtection="1">
      <alignment horizontal="left" vertical="top" wrapText="1"/>
      <protection locked="0"/>
    </xf>
    <xf numFmtId="4" fontId="3" fillId="0" borderId="86" xfId="0" applyNumberFormat="1" applyFont="1" applyFill="1" applyBorder="1" applyAlignment="1">
      <alignment wrapText="1"/>
    </xf>
    <xf numFmtId="4" fontId="1" fillId="0" borderId="87" xfId="0" applyNumberFormat="1" applyFont="1" applyFill="1" applyBorder="1" applyAlignment="1">
      <alignment wrapText="1"/>
    </xf>
    <xf numFmtId="174" fontId="1" fillId="34" borderId="63" xfId="0" applyNumberFormat="1" applyFont="1" applyFill="1" applyBorder="1" applyAlignment="1">
      <alignment horizontal="center" wrapText="1"/>
    </xf>
    <xf numFmtId="4" fontId="1" fillId="0" borderId="88" xfId="0" applyNumberFormat="1" applyFont="1" applyFill="1" applyBorder="1" applyAlignment="1" applyProtection="1">
      <alignment wrapText="1"/>
      <protection locked="0"/>
    </xf>
    <xf numFmtId="4" fontId="1" fillId="34" borderId="87" xfId="0" applyNumberFormat="1" applyFont="1" applyFill="1" applyBorder="1" applyAlignment="1">
      <alignment wrapText="1"/>
    </xf>
    <xf numFmtId="174" fontId="1" fillId="0" borderId="89" xfId="0" applyNumberFormat="1" applyFont="1" applyFill="1" applyBorder="1" applyAlignment="1">
      <alignment horizontal="center" wrapText="1"/>
    </xf>
    <xf numFmtId="0" fontId="8" fillId="0" borderId="90" xfId="0" applyFont="1" applyFill="1" applyBorder="1" applyAlignment="1">
      <alignment wrapText="1"/>
    </xf>
    <xf numFmtId="0" fontId="4" fillId="0" borderId="23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 vertical="justify" wrapText="1"/>
    </xf>
    <xf numFmtId="0" fontId="5" fillId="33" borderId="82" xfId="0" applyFont="1" applyFill="1" applyBorder="1" applyAlignment="1">
      <alignment/>
    </xf>
    <xf numFmtId="0" fontId="8" fillId="33" borderId="82" xfId="0" applyFont="1" applyFill="1" applyBorder="1" applyAlignment="1" applyProtection="1">
      <alignment wrapText="1"/>
      <protection locked="0"/>
    </xf>
    <xf numFmtId="4" fontId="5" fillId="33" borderId="82" xfId="0" applyNumberFormat="1" applyFont="1" applyFill="1" applyBorder="1" applyAlignment="1">
      <alignment/>
    </xf>
    <xf numFmtId="173" fontId="1" fillId="33" borderId="22" xfId="0" applyNumberFormat="1" applyFont="1" applyFill="1" applyBorder="1" applyAlignment="1">
      <alignment wrapText="1"/>
    </xf>
    <xf numFmtId="173" fontId="1" fillId="33" borderId="67" xfId="0" applyNumberFormat="1" applyFont="1" applyFill="1" applyBorder="1" applyAlignment="1">
      <alignment wrapText="1"/>
    </xf>
    <xf numFmtId="0" fontId="3" fillId="33" borderId="35" xfId="0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172" fontId="1" fillId="33" borderId="22" xfId="0" applyNumberFormat="1" applyFont="1" applyFill="1" applyBorder="1" applyAlignment="1">
      <alignment wrapText="1"/>
    </xf>
    <xf numFmtId="0" fontId="8" fillId="33" borderId="50" xfId="0" applyFont="1" applyFill="1" applyBorder="1" applyAlignment="1">
      <alignment wrapText="1"/>
    </xf>
    <xf numFmtId="0" fontId="3" fillId="0" borderId="84" xfId="0" applyFont="1" applyFill="1" applyBorder="1" applyAlignment="1">
      <alignment vertical="justify" wrapText="1"/>
    </xf>
    <xf numFmtId="0" fontId="3" fillId="0" borderId="85" xfId="0" applyFont="1" applyFill="1" applyBorder="1" applyAlignment="1">
      <alignment vertical="justify" wrapText="1"/>
    </xf>
    <xf numFmtId="0" fontId="9" fillId="0" borderId="85" xfId="0" applyFont="1" applyFill="1" applyBorder="1" applyAlignment="1" applyProtection="1">
      <alignment wrapText="1"/>
      <protection locked="0"/>
    </xf>
    <xf numFmtId="0" fontId="9" fillId="0" borderId="90" xfId="0" applyFont="1" applyFill="1" applyBorder="1" applyAlignment="1">
      <alignment wrapText="1"/>
    </xf>
    <xf numFmtId="0" fontId="8" fillId="37" borderId="43" xfId="0" applyNumberFormat="1" applyFont="1" applyFill="1" applyBorder="1" applyAlignment="1">
      <alignment horizontal="center" vertical="center" wrapText="1"/>
    </xf>
    <xf numFmtId="0" fontId="8" fillId="37" borderId="87" xfId="0" applyNumberFormat="1" applyFont="1" applyFill="1" applyBorder="1" applyAlignment="1">
      <alignment horizontal="center" vertical="center" wrapText="1"/>
    </xf>
    <xf numFmtId="0" fontId="8" fillId="37" borderId="89" xfId="0" applyNumberFormat="1" applyFont="1" applyFill="1" applyBorder="1" applyAlignment="1">
      <alignment horizontal="center" vertical="center" wrapText="1"/>
    </xf>
    <xf numFmtId="0" fontId="8" fillId="37" borderId="88" xfId="0" applyNumberFormat="1" applyFont="1" applyFill="1" applyBorder="1" applyAlignment="1">
      <alignment horizontal="center" vertical="center" wrapText="1"/>
    </xf>
    <xf numFmtId="0" fontId="8" fillId="37" borderId="85" xfId="0" applyFont="1" applyFill="1" applyBorder="1" applyAlignment="1" applyProtection="1">
      <alignment horizontal="left" vertical="top" wrapText="1"/>
      <protection locked="0"/>
    </xf>
    <xf numFmtId="4" fontId="1" fillId="37" borderId="86" xfId="0" applyNumberFormat="1" applyFont="1" applyFill="1" applyBorder="1" applyAlignment="1" applyProtection="1">
      <alignment wrapText="1"/>
      <protection locked="0"/>
    </xf>
    <xf numFmtId="4" fontId="3" fillId="37" borderId="87" xfId="0" applyNumberFormat="1" applyFont="1" applyFill="1" applyBorder="1" applyAlignment="1" applyProtection="1">
      <alignment wrapText="1"/>
      <protection locked="0"/>
    </xf>
    <xf numFmtId="174" fontId="3" fillId="37" borderId="89" xfId="0" applyNumberFormat="1" applyFont="1" applyFill="1" applyBorder="1" applyAlignment="1" applyProtection="1">
      <alignment horizontal="center" wrapText="1"/>
      <protection locked="0"/>
    </xf>
    <xf numFmtId="4" fontId="3" fillId="37" borderId="88" xfId="0" applyNumberFormat="1" applyFont="1" applyFill="1" applyBorder="1" applyAlignment="1" applyProtection="1">
      <alignment wrapText="1"/>
      <protection locked="0"/>
    </xf>
    <xf numFmtId="0" fontId="8" fillId="37" borderId="90" xfId="0" applyFont="1" applyFill="1" applyBorder="1" applyAlignment="1" applyProtection="1">
      <alignment wrapText="1"/>
      <protection locked="0"/>
    </xf>
    <xf numFmtId="0" fontId="7" fillId="0" borderId="91" xfId="0" applyFont="1" applyFill="1" applyBorder="1" applyAlignment="1">
      <alignment horizontal="left" vertical="top" wrapText="1"/>
    </xf>
    <xf numFmtId="0" fontId="8" fillId="35" borderId="92" xfId="0" applyFont="1" applyFill="1" applyBorder="1" applyAlignment="1">
      <alignment wrapText="1"/>
    </xf>
    <xf numFmtId="0" fontId="8" fillId="35" borderId="93" xfId="0" applyFont="1" applyFill="1" applyBorder="1" applyAlignment="1">
      <alignment wrapText="1"/>
    </xf>
    <xf numFmtId="0" fontId="3" fillId="0" borderId="94" xfId="0" applyFont="1" applyFill="1" applyBorder="1" applyAlignment="1">
      <alignment/>
    </xf>
    <xf numFmtId="0" fontId="1" fillId="0" borderId="95" xfId="0" applyFont="1" applyFill="1" applyBorder="1" applyAlignment="1">
      <alignment wrapText="1"/>
    </xf>
    <xf numFmtId="0" fontId="8" fillId="0" borderId="95" xfId="0" applyFont="1" applyFill="1" applyBorder="1" applyAlignment="1" applyProtection="1">
      <alignment horizontal="left" vertical="top" wrapText="1"/>
      <protection locked="0"/>
    </xf>
    <xf numFmtId="4" fontId="3" fillId="0" borderId="96" xfId="0" applyNumberFormat="1" applyFont="1" applyFill="1" applyBorder="1" applyAlignment="1">
      <alignment wrapText="1"/>
    </xf>
    <xf numFmtId="4" fontId="1" fillId="0" borderId="97" xfId="0" applyNumberFormat="1" applyFont="1" applyFill="1" applyBorder="1" applyAlignment="1">
      <alignment wrapText="1"/>
    </xf>
    <xf numFmtId="174" fontId="1" fillId="0" borderId="42" xfId="0" applyNumberFormat="1" applyFont="1" applyFill="1" applyBorder="1" applyAlignment="1">
      <alignment horizontal="center" wrapText="1"/>
    </xf>
    <xf numFmtId="4" fontId="1" fillId="0" borderId="98" xfId="0" applyNumberFormat="1" applyFont="1" applyFill="1" applyBorder="1" applyAlignment="1" applyProtection="1">
      <alignment wrapText="1"/>
      <protection locked="0"/>
    </xf>
    <xf numFmtId="0" fontId="8" fillId="0" borderId="75" xfId="0" applyFont="1" applyFill="1" applyBorder="1" applyAlignment="1">
      <alignment wrapText="1"/>
    </xf>
    <xf numFmtId="0" fontId="3" fillId="0" borderId="99" xfId="0" applyFont="1" applyFill="1" applyBorder="1" applyAlignment="1">
      <alignment/>
    </xf>
    <xf numFmtId="0" fontId="1" fillId="0" borderId="100" xfId="0" applyFont="1" applyFill="1" applyBorder="1" applyAlignment="1">
      <alignment wrapText="1"/>
    </xf>
    <xf numFmtId="4" fontId="3" fillId="0" borderId="101" xfId="0" applyNumberFormat="1" applyFont="1" applyFill="1" applyBorder="1" applyAlignment="1">
      <alignment wrapText="1"/>
    </xf>
    <xf numFmtId="4" fontId="1" fillId="0" borderId="102" xfId="0" applyNumberFormat="1" applyFont="1" applyFill="1" applyBorder="1" applyAlignment="1">
      <alignment wrapText="1"/>
    </xf>
    <xf numFmtId="174" fontId="1" fillId="0" borderId="103" xfId="0" applyNumberFormat="1" applyFont="1" applyFill="1" applyBorder="1" applyAlignment="1">
      <alignment horizontal="center" wrapText="1"/>
    </xf>
    <xf numFmtId="4" fontId="1" fillId="0" borderId="104" xfId="0" applyNumberFormat="1" applyFont="1" applyFill="1" applyBorder="1" applyAlignment="1" applyProtection="1">
      <alignment wrapText="1"/>
      <protection locked="0"/>
    </xf>
    <xf numFmtId="174" fontId="1" fillId="0" borderId="103" xfId="0" applyNumberFormat="1" applyFont="1" applyFill="1" applyBorder="1" applyAlignment="1" applyProtection="1">
      <alignment horizontal="center" wrapText="1"/>
      <protection locked="0"/>
    </xf>
    <xf numFmtId="0" fontId="8" fillId="0" borderId="93" xfId="0" applyFont="1" applyFill="1" applyBorder="1" applyAlignment="1">
      <alignment wrapText="1"/>
    </xf>
    <xf numFmtId="4" fontId="3" fillId="35" borderId="105" xfId="0" applyNumberFormat="1" applyFont="1" applyFill="1" applyBorder="1" applyAlignment="1">
      <alignment wrapText="1"/>
    </xf>
    <xf numFmtId="4" fontId="3" fillId="35" borderId="51" xfId="0" applyNumberFormat="1" applyFont="1" applyFill="1" applyBorder="1" applyAlignment="1">
      <alignment wrapText="1"/>
    </xf>
    <xf numFmtId="4" fontId="3" fillId="35" borderId="52" xfId="0" applyNumberFormat="1" applyFont="1" applyFill="1" applyBorder="1" applyAlignment="1">
      <alignment wrapText="1"/>
    </xf>
    <xf numFmtId="4" fontId="3" fillId="35" borderId="53" xfId="0" applyNumberFormat="1" applyFont="1" applyFill="1" applyBorder="1" applyAlignment="1">
      <alignment wrapText="1"/>
    </xf>
    <xf numFmtId="4" fontId="1" fillId="0" borderId="106" xfId="0" applyNumberFormat="1" applyFont="1" applyFill="1" applyBorder="1" applyAlignment="1" applyProtection="1">
      <alignment wrapText="1"/>
      <protection locked="0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17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7" fillId="0" borderId="107" xfId="0" applyFont="1" applyFill="1" applyBorder="1" applyAlignment="1">
      <alignment horizontal="left" vertical="top" wrapText="1"/>
    </xf>
    <xf numFmtId="0" fontId="8" fillId="35" borderId="57" xfId="0" applyFont="1" applyFill="1" applyBorder="1" applyAlignment="1">
      <alignment wrapText="1"/>
    </xf>
    <xf numFmtId="4" fontId="3" fillId="35" borderId="66" xfId="0" applyNumberFormat="1" applyFont="1" applyFill="1" applyBorder="1" applyAlignment="1">
      <alignment wrapText="1"/>
    </xf>
    <xf numFmtId="0" fontId="8" fillId="35" borderId="60" xfId="0" applyFont="1" applyFill="1" applyBorder="1" applyAlignment="1">
      <alignment wrapText="1"/>
    </xf>
    <xf numFmtId="0" fontId="8" fillId="0" borderId="108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37" borderId="29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/>
    </xf>
    <xf numFmtId="0" fontId="8" fillId="37" borderId="90" xfId="0" applyNumberFormat="1" applyFont="1" applyFill="1" applyBorder="1" applyAlignment="1">
      <alignment horizontal="center" vertical="center" wrapText="1"/>
    </xf>
    <xf numFmtId="0" fontId="1" fillId="0" borderId="109" xfId="0" applyFont="1" applyFill="1" applyBorder="1" applyAlignment="1">
      <alignment horizontal="center" vertical="justify" wrapText="1"/>
    </xf>
    <xf numFmtId="0" fontId="1" fillId="0" borderId="110" xfId="0" applyFont="1" applyFill="1" applyBorder="1" applyAlignment="1">
      <alignment horizontal="center" vertical="justify" wrapText="1"/>
    </xf>
    <xf numFmtId="0" fontId="1" fillId="0" borderId="111" xfId="0" applyFont="1" applyFill="1" applyBorder="1" applyAlignment="1">
      <alignment horizontal="center" vertical="justify" wrapText="1"/>
    </xf>
    <xf numFmtId="0" fontId="8" fillId="0" borderId="0" xfId="0" applyFont="1" applyFill="1" applyAlignment="1">
      <alignment horizontal="center" vertical="top" wrapText="1"/>
    </xf>
    <xf numFmtId="2" fontId="25" fillId="0" borderId="0" xfId="0" applyNumberFormat="1" applyFont="1" applyFill="1" applyAlignment="1">
      <alignment horizontal="left" wrapText="1"/>
    </xf>
    <xf numFmtId="0" fontId="1" fillId="34" borderId="36" xfId="0" applyFont="1" applyFill="1" applyBorder="1" applyAlignment="1">
      <alignment horizontal="center" vertical="top" wrapText="1"/>
    </xf>
    <xf numFmtId="0" fontId="28" fillId="0" borderId="0" xfId="63" applyFont="1" applyBorder="1" applyAlignment="1">
      <alignment horizontal="center" wrapText="1"/>
      <protection/>
    </xf>
    <xf numFmtId="0" fontId="28" fillId="0" borderId="43" xfId="63" applyFont="1" applyBorder="1" applyAlignment="1">
      <alignment horizontal="center" wrapText="1"/>
      <protection/>
    </xf>
    <xf numFmtId="0" fontId="27" fillId="0" borderId="0" xfId="63" applyFont="1">
      <alignment/>
      <protection/>
    </xf>
    <xf numFmtId="0" fontId="28" fillId="0" borderId="15" xfId="63" applyFont="1" applyBorder="1" applyAlignment="1">
      <alignment horizontal="center" vertical="center" wrapText="1"/>
      <protection/>
    </xf>
    <xf numFmtId="0" fontId="28" fillId="0" borderId="35" xfId="63" applyFont="1" applyBorder="1" applyAlignment="1">
      <alignment horizontal="center" vertical="center" wrapText="1"/>
      <protection/>
    </xf>
    <xf numFmtId="0" fontId="28" fillId="0" borderId="35" xfId="63" applyFont="1" applyBorder="1" applyAlignment="1">
      <alignment horizontal="center" vertical="center"/>
      <protection/>
    </xf>
    <xf numFmtId="0" fontId="27" fillId="0" borderId="85" xfId="63" applyFont="1" applyBorder="1">
      <alignment/>
      <protection/>
    </xf>
    <xf numFmtId="4" fontId="28" fillId="0" borderId="85" xfId="63" applyNumberFormat="1" applyFont="1" applyBorder="1">
      <alignment/>
      <protection/>
    </xf>
    <xf numFmtId="0" fontId="28" fillId="0" borderId="44" xfId="63" applyFont="1" applyBorder="1" applyAlignment="1">
      <alignment wrapText="1"/>
      <protection/>
    </xf>
    <xf numFmtId="0" fontId="28" fillId="0" borderId="0" xfId="63" applyFont="1" applyBorder="1" applyAlignment="1">
      <alignment wrapText="1"/>
      <protection/>
    </xf>
    <xf numFmtId="0" fontId="27" fillId="0" borderId="35" xfId="63" applyFont="1" applyBorder="1">
      <alignment/>
      <protection/>
    </xf>
    <xf numFmtId="0" fontId="27" fillId="0" borderId="0" xfId="63" applyFont="1" applyBorder="1">
      <alignment/>
      <protection/>
    </xf>
    <xf numFmtId="0" fontId="27" fillId="0" borderId="0" xfId="64" applyFont="1" applyAlignment="1">
      <alignment wrapText="1"/>
      <protection/>
    </xf>
    <xf numFmtId="0" fontId="27" fillId="0" borderId="0" xfId="71" applyFont="1" applyAlignment="1">
      <alignment/>
      <protection/>
    </xf>
    <xf numFmtId="0" fontId="0" fillId="0" borderId="0" xfId="55">
      <alignment/>
      <protection/>
    </xf>
    <xf numFmtId="1" fontId="27" fillId="34" borderId="35" xfId="63" applyNumberFormat="1" applyFont="1" applyFill="1" applyBorder="1" applyAlignment="1">
      <alignment horizontal="center"/>
      <protection/>
    </xf>
    <xf numFmtId="4" fontId="27" fillId="34" borderId="35" xfId="63" applyNumberFormat="1" applyFont="1" applyFill="1" applyBorder="1" applyAlignment="1">
      <alignment horizontal="center"/>
      <protection/>
    </xf>
    <xf numFmtId="4" fontId="28" fillId="0" borderId="35" xfId="63" applyNumberFormat="1" applyFont="1" applyBorder="1">
      <alignment/>
      <protection/>
    </xf>
    <xf numFmtId="0" fontId="27" fillId="0" borderId="0" xfId="55" applyFont="1" applyAlignment="1">
      <alignment wrapText="1"/>
      <protection/>
    </xf>
    <xf numFmtId="0" fontId="28" fillId="0" borderId="0" xfId="63" applyFont="1" applyBorder="1" applyAlignment="1">
      <alignment horizontal="center" vertical="center" wrapText="1"/>
      <protection/>
    </xf>
    <xf numFmtId="0" fontId="28" fillId="0" borderId="43" xfId="63" applyFont="1" applyBorder="1" applyAlignment="1">
      <alignment horizontal="center" vertical="center" wrapText="1"/>
      <protection/>
    </xf>
    <xf numFmtId="0" fontId="28" fillId="0" borderId="44" xfId="63" applyFont="1" applyBorder="1" applyAlignment="1">
      <alignment vertical="center" wrapText="1"/>
      <protection/>
    </xf>
    <xf numFmtId="0" fontId="28" fillId="0" borderId="0" xfId="63" applyFont="1" applyBorder="1" applyAlignment="1">
      <alignment vertical="center" wrapText="1"/>
      <protection/>
    </xf>
    <xf numFmtId="0" fontId="27" fillId="0" borderId="0" xfId="63" applyFont="1" applyBorder="1" applyAlignment="1">
      <alignment vertical="center"/>
      <protection/>
    </xf>
    <xf numFmtId="0" fontId="27" fillId="0" borderId="0" xfId="63" applyFont="1" applyAlignment="1">
      <alignment vertical="center"/>
      <protection/>
    </xf>
    <xf numFmtId="0" fontId="27" fillId="0" borderId="0" xfId="71" applyFont="1" applyAlignment="1">
      <alignment vertical="center"/>
      <protection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9" fillId="0" borderId="35" xfId="0" applyFont="1" applyBorder="1" applyAlignment="1">
      <alignment/>
    </xf>
    <xf numFmtId="0" fontId="27" fillId="0" borderId="35" xfId="0" applyFont="1" applyBorder="1" applyAlignment="1">
      <alignment horizontal="center"/>
    </xf>
    <xf numFmtId="0" fontId="27" fillId="0" borderId="35" xfId="0" applyFont="1" applyBorder="1" applyAlignment="1">
      <alignment horizontal="center" vertical="center"/>
    </xf>
    <xf numFmtId="0" fontId="27" fillId="0" borderId="0" xfId="55" applyFont="1" applyAlignment="1">
      <alignment horizontal="center" wrapText="1"/>
      <protection/>
    </xf>
    <xf numFmtId="0" fontId="32" fillId="0" borderId="0" xfId="55" applyFont="1" applyAlignment="1">
      <alignment horizontal="center" wrapText="1"/>
      <protection/>
    </xf>
    <xf numFmtId="0" fontId="27" fillId="0" borderId="0" xfId="55" applyFont="1">
      <alignment/>
      <protection/>
    </xf>
    <xf numFmtId="0" fontId="19" fillId="0" borderId="0" xfId="55" applyFont="1" applyAlignment="1">
      <alignment horizontal="center" wrapText="1"/>
      <protection/>
    </xf>
    <xf numFmtId="0" fontId="19" fillId="0" borderId="0" xfId="55" applyFont="1">
      <alignment/>
      <protection/>
    </xf>
    <xf numFmtId="0" fontId="27" fillId="0" borderId="35" xfId="55" applyFont="1" applyFill="1" applyBorder="1" applyAlignment="1">
      <alignment horizontal="center" wrapText="1"/>
      <protection/>
    </xf>
    <xf numFmtId="0" fontId="27" fillId="0" borderId="35" xfId="55" applyFont="1" applyBorder="1" applyAlignment="1">
      <alignment horizontal="center" wrapText="1"/>
      <protection/>
    </xf>
    <xf numFmtId="0" fontId="27" fillId="0" borderId="35" xfId="55" applyFont="1" applyBorder="1" applyAlignment="1">
      <alignment horizontal="left" wrapText="1"/>
      <protection/>
    </xf>
    <xf numFmtId="0" fontId="27" fillId="0" borderId="0" xfId="55" applyFont="1" applyAlignment="1">
      <alignment horizontal="left" wrapText="1"/>
      <protection/>
    </xf>
    <xf numFmtId="0" fontId="27" fillId="0" borderId="112" xfId="55" applyFont="1" applyBorder="1" applyAlignment="1">
      <alignment horizontal="center" wrapText="1"/>
      <protection/>
    </xf>
    <xf numFmtId="0" fontId="27" fillId="0" borderId="0" xfId="55" applyFont="1" applyAlignment="1">
      <alignment horizontal="left" wrapText="1" indent="3"/>
      <protection/>
    </xf>
    <xf numFmtId="0" fontId="27" fillId="0" borderId="51" xfId="55" applyFont="1" applyBorder="1" applyAlignment="1">
      <alignment horizontal="center" wrapText="1"/>
      <protection/>
    </xf>
    <xf numFmtId="0" fontId="27" fillId="0" borderId="0" xfId="55" applyFont="1" applyBorder="1" applyAlignment="1">
      <alignment horizontal="center" wrapText="1"/>
      <protection/>
    </xf>
    <xf numFmtId="0" fontId="27" fillId="0" borderId="0" xfId="55" applyFont="1" applyFill="1" applyBorder="1" applyAlignment="1">
      <alignment horizontal="center" vertical="center" wrapText="1"/>
      <protection/>
    </xf>
    <xf numFmtId="0" fontId="27" fillId="0" borderId="0" xfId="55" applyFont="1" applyBorder="1" applyAlignment="1">
      <alignment horizontal="left" wrapText="1"/>
      <protection/>
    </xf>
    <xf numFmtId="0" fontId="19" fillId="0" borderId="0" xfId="55" applyFont="1" applyAlignment="1">
      <alignment horizontal="center" vertical="center" wrapText="1"/>
      <protection/>
    </xf>
    <xf numFmtId="0" fontId="27" fillId="0" borderId="51" xfId="55" applyFont="1" applyFill="1" applyBorder="1" applyAlignment="1">
      <alignment/>
      <protection/>
    </xf>
    <xf numFmtId="0" fontId="27" fillId="0" borderId="0" xfId="55" applyFont="1" applyFill="1" applyAlignment="1">
      <alignment/>
      <protection/>
    </xf>
    <xf numFmtId="0" fontId="27" fillId="0" borderId="0" xfId="55" applyFont="1" applyFill="1">
      <alignment/>
      <protection/>
    </xf>
    <xf numFmtId="0" fontId="19" fillId="0" borderId="0" xfId="55" applyFont="1" applyFill="1" applyAlignment="1">
      <alignment horizontal="center" wrapText="1"/>
      <protection/>
    </xf>
    <xf numFmtId="0" fontId="27" fillId="0" borderId="0" xfId="55" applyFont="1" applyBorder="1" applyAlignment="1">
      <alignment horizontal="center" vertical="center" wrapText="1"/>
      <protection/>
    </xf>
    <xf numFmtId="49" fontId="27" fillId="0" borderId="35" xfId="55" applyNumberFormat="1" applyFont="1" applyBorder="1" applyAlignment="1">
      <alignment horizontal="center" vertical="center" wrapText="1"/>
      <protection/>
    </xf>
    <xf numFmtId="49" fontId="27" fillId="0" borderId="35" xfId="55" applyNumberFormat="1" applyFont="1" applyFill="1" applyBorder="1" applyAlignment="1">
      <alignment horizontal="center" vertical="center" wrapText="1"/>
      <protection/>
    </xf>
    <xf numFmtId="49" fontId="27" fillId="0" borderId="0" xfId="55" applyNumberFormat="1" applyFont="1" applyBorder="1" applyAlignment="1">
      <alignment vertical="center" wrapText="1"/>
      <protection/>
    </xf>
    <xf numFmtId="49" fontId="34" fillId="0" borderId="50" xfId="55" applyNumberFormat="1" applyFont="1" applyBorder="1" applyAlignment="1">
      <alignment horizontal="center" vertical="center" wrapText="1"/>
      <protection/>
    </xf>
    <xf numFmtId="49" fontId="34" fillId="0" borderId="50" xfId="55" applyNumberFormat="1" applyFont="1" applyFill="1" applyBorder="1" applyAlignment="1">
      <alignment horizontal="center" vertical="center" wrapText="1"/>
      <protection/>
    </xf>
    <xf numFmtId="0" fontId="34" fillId="0" borderId="0" xfId="55" applyFont="1" applyAlignment="1">
      <alignment horizontal="center" vertical="center" wrapText="1"/>
      <protection/>
    </xf>
    <xf numFmtId="3" fontId="27" fillId="0" borderId="35" xfId="75" applyNumberFormat="1" applyFont="1" applyFill="1" applyBorder="1" applyAlignment="1">
      <alignment horizontal="center" wrapText="1"/>
    </xf>
    <xf numFmtId="3" fontId="27" fillId="0" borderId="35" xfId="55" applyNumberFormat="1" applyFont="1" applyFill="1" applyBorder="1" applyAlignment="1">
      <alignment horizontal="center" wrapText="1"/>
      <protection/>
    </xf>
    <xf numFmtId="3" fontId="27" fillId="0" borderId="35" xfId="55" applyNumberFormat="1" applyFont="1" applyFill="1" applyBorder="1" applyAlignment="1">
      <alignment horizontal="center" vertical="center" wrapText="1"/>
      <protection/>
    </xf>
    <xf numFmtId="0" fontId="27" fillId="0" borderId="0" xfId="55" applyFont="1" applyFill="1" applyBorder="1" applyAlignment="1">
      <alignment horizontal="center" wrapText="1"/>
      <protection/>
    </xf>
    <xf numFmtId="0" fontId="19" fillId="0" borderId="0" xfId="55" applyFont="1" applyBorder="1" applyAlignment="1">
      <alignment horizontal="center" wrapText="1"/>
      <protection/>
    </xf>
    <xf numFmtId="3" fontId="27" fillId="0" borderId="35" xfId="75" applyNumberFormat="1" applyFont="1" applyBorder="1" applyAlignment="1">
      <alignment horizontal="center" wrapText="1"/>
    </xf>
    <xf numFmtId="3" fontId="27" fillId="0" borderId="35" xfId="55" applyNumberFormat="1" applyFont="1" applyBorder="1" applyAlignment="1">
      <alignment horizontal="center" wrapText="1"/>
      <protection/>
    </xf>
    <xf numFmtId="0" fontId="33" fillId="0" borderId="0" xfId="55" applyFont="1" applyBorder="1" applyAlignment="1">
      <alignment horizontal="left" wrapText="1"/>
      <protection/>
    </xf>
    <xf numFmtId="0" fontId="27" fillId="0" borderId="35" xfId="55" applyFont="1" applyBorder="1" applyAlignment="1">
      <alignment horizontal="center" vertical="center" wrapText="1"/>
      <protection/>
    </xf>
    <xf numFmtId="2" fontId="27" fillId="0" borderId="35" xfId="55" applyNumberFormat="1" applyFont="1" applyBorder="1" applyAlignment="1">
      <alignment horizontal="center" wrapText="1"/>
      <protection/>
    </xf>
    <xf numFmtId="4" fontId="27" fillId="0" borderId="35" xfId="55" applyNumberFormat="1" applyFont="1" applyFill="1" applyBorder="1" applyAlignment="1">
      <alignment horizontal="center" wrapText="1"/>
      <protection/>
    </xf>
    <xf numFmtId="0" fontId="28" fillId="0" borderId="35" xfId="55" applyFont="1" applyBorder="1" applyAlignment="1">
      <alignment horizontal="right" wrapText="1"/>
      <protection/>
    </xf>
    <xf numFmtId="4" fontId="28" fillId="0" borderId="35" xfId="55" applyNumberFormat="1" applyFont="1" applyFill="1" applyBorder="1" applyAlignment="1">
      <alignment horizontal="center" wrapText="1"/>
      <protection/>
    </xf>
    <xf numFmtId="0" fontId="25" fillId="0" borderId="0" xfId="55" applyFont="1" applyAlignment="1">
      <alignment horizontal="left"/>
      <protection/>
    </xf>
    <xf numFmtId="0" fontId="25" fillId="0" borderId="0" xfId="55" applyFont="1" applyAlignment="1">
      <alignment horizontal="right"/>
      <protection/>
    </xf>
    <xf numFmtId="0" fontId="28" fillId="0" borderId="0" xfId="55" applyFont="1" applyFill="1" applyBorder="1" applyAlignment="1">
      <alignment horizontal="left" wrapText="1"/>
      <protection/>
    </xf>
    <xf numFmtId="0" fontId="27" fillId="0" borderId="0" xfId="55" applyFont="1" applyFill="1" applyBorder="1" applyAlignment="1">
      <alignment horizontal="left" wrapText="1"/>
      <protection/>
    </xf>
    <xf numFmtId="0" fontId="27" fillId="0" borderId="0" xfId="55" applyFont="1" applyFill="1" applyBorder="1" applyAlignment="1">
      <alignment wrapText="1"/>
      <protection/>
    </xf>
    <xf numFmtId="4" fontId="27" fillId="0" borderId="35" xfId="55" applyNumberFormat="1" applyFont="1" applyBorder="1" applyAlignment="1">
      <alignment horizontal="center" wrapText="1"/>
      <protection/>
    </xf>
    <xf numFmtId="4" fontId="28" fillId="0" borderId="35" xfId="55" applyNumberFormat="1" applyFont="1" applyBorder="1" applyAlignment="1">
      <alignment horizontal="center" wrapText="1"/>
      <protection/>
    </xf>
    <xf numFmtId="0" fontId="27" fillId="0" borderId="0" xfId="0" applyFont="1" applyAlignment="1">
      <alignment horizontal="center" wrapText="1"/>
    </xf>
    <xf numFmtId="0" fontId="27" fillId="0" borderId="35" xfId="0" applyFont="1" applyBorder="1" applyAlignment="1">
      <alignment horizont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85" xfId="0" applyFont="1" applyBorder="1" applyAlignment="1">
      <alignment horizontal="center" wrapText="1"/>
    </xf>
    <xf numFmtId="2" fontId="27" fillId="0" borderId="86" xfId="0" applyNumberFormat="1" applyFont="1" applyBorder="1" applyAlignment="1">
      <alignment horizontal="right" wrapText="1"/>
    </xf>
    <xf numFmtId="0" fontId="27" fillId="0" borderId="43" xfId="0" applyFont="1" applyBorder="1" applyAlignment="1">
      <alignment horizontal="left" wrapText="1"/>
    </xf>
    <xf numFmtId="0" fontId="28" fillId="0" borderId="43" xfId="0" applyFont="1" applyBorder="1" applyAlignment="1">
      <alignment horizontal="left" wrapText="1"/>
    </xf>
    <xf numFmtId="0" fontId="28" fillId="0" borderId="113" xfId="0" applyFont="1" applyBorder="1" applyAlignment="1">
      <alignment horizontal="left" wrapText="1"/>
    </xf>
    <xf numFmtId="2" fontId="28" fillId="0" borderId="35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2" fontId="27" fillId="0" borderId="39" xfId="0" applyNumberFormat="1" applyFont="1" applyBorder="1" applyAlignment="1">
      <alignment horizontal="center" wrapText="1"/>
    </xf>
    <xf numFmtId="0" fontId="27" fillId="0" borderId="0" xfId="0" applyFont="1" applyFill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2" fontId="28" fillId="0" borderId="35" xfId="0" applyNumberFormat="1" applyFont="1" applyBorder="1" applyAlignment="1">
      <alignment horizontal="center" wrapText="1"/>
    </xf>
    <xf numFmtId="2" fontId="27" fillId="0" borderId="0" xfId="0" applyNumberFormat="1" applyFont="1" applyAlignment="1">
      <alignment horizontal="center" wrapText="1"/>
    </xf>
    <xf numFmtId="0" fontId="27" fillId="38" borderId="0" xfId="0" applyFont="1" applyFill="1" applyAlignment="1">
      <alignment horizontal="center" wrapText="1"/>
    </xf>
    <xf numFmtId="0" fontId="25" fillId="0" borderId="0" xfId="54" applyFont="1" applyAlignment="1">
      <alignment horizontal="center" vertical="center" wrapText="1"/>
      <protection/>
    </xf>
    <xf numFmtId="0" fontId="37" fillId="0" borderId="0" xfId="54" applyFont="1">
      <alignment/>
      <protection/>
    </xf>
    <xf numFmtId="0" fontId="25" fillId="0" borderId="0" xfId="54" applyFont="1">
      <alignment/>
      <protection/>
    </xf>
    <xf numFmtId="0" fontId="25" fillId="0" borderId="0" xfId="54" applyFont="1" applyFill="1" applyBorder="1">
      <alignment/>
      <protection/>
    </xf>
    <xf numFmtId="0" fontId="25" fillId="0" borderId="0" xfId="54" applyFont="1" applyBorder="1">
      <alignment/>
      <protection/>
    </xf>
    <xf numFmtId="0" fontId="37" fillId="0" borderId="0" xfId="54" applyFont="1" applyBorder="1" applyAlignment="1">
      <alignment horizontal="center"/>
      <protection/>
    </xf>
    <xf numFmtId="0" fontId="25" fillId="0" borderId="35" xfId="54" applyFont="1" applyBorder="1" applyAlignment="1">
      <alignment horizontal="center"/>
      <protection/>
    </xf>
    <xf numFmtId="43" fontId="25" fillId="0" borderId="35" xfId="73" applyFont="1" applyBorder="1" applyAlignment="1">
      <alignment horizontal="center"/>
    </xf>
    <xf numFmtId="43" fontId="39" fillId="0" borderId="0" xfId="73" applyFont="1" applyAlignment="1">
      <alignment horizontal="right"/>
    </xf>
    <xf numFmtId="2" fontId="37" fillId="0" borderId="0" xfId="54" applyNumberFormat="1" applyFont="1">
      <alignment/>
      <protection/>
    </xf>
    <xf numFmtId="1" fontId="25" fillId="0" borderId="0" xfId="54" applyNumberFormat="1" applyFont="1" applyFill="1" applyBorder="1" applyAlignment="1">
      <alignment horizontal="center" wrapText="1"/>
      <protection/>
    </xf>
    <xf numFmtId="2" fontId="36" fillId="0" borderId="0" xfId="54" applyNumberFormat="1" applyFont="1" applyBorder="1">
      <alignment/>
      <protection/>
    </xf>
    <xf numFmtId="0" fontId="25" fillId="0" borderId="0" xfId="54" applyFont="1" applyFill="1" applyAlignment="1">
      <alignment horizontal="left" wrapText="1"/>
      <protection/>
    </xf>
    <xf numFmtId="1" fontId="36" fillId="0" borderId="0" xfId="54" applyNumberFormat="1" applyFont="1" applyFill="1" applyAlignment="1">
      <alignment horizontal="left" wrapText="1"/>
      <protection/>
    </xf>
    <xf numFmtId="2" fontId="36" fillId="0" borderId="0" xfId="54" applyNumberFormat="1" applyFont="1">
      <alignment/>
      <protection/>
    </xf>
    <xf numFmtId="43" fontId="37" fillId="0" borderId="0" xfId="73" applyFont="1" applyFill="1" applyAlignment="1">
      <alignment horizontal="left" wrapText="1"/>
    </xf>
    <xf numFmtId="0" fontId="27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50" xfId="0" applyFont="1" applyBorder="1" applyAlignment="1">
      <alignment horizontal="center" vertical="top" wrapText="1"/>
    </xf>
    <xf numFmtId="2" fontId="27" fillId="0" borderId="50" xfId="0" applyNumberFormat="1" applyFont="1" applyBorder="1" applyAlignment="1">
      <alignment horizontal="center" wrapText="1"/>
    </xf>
    <xf numFmtId="0" fontId="27" fillId="0" borderId="85" xfId="0" applyFont="1" applyBorder="1" applyAlignment="1">
      <alignment horizontal="center" vertical="top" wrapText="1"/>
    </xf>
    <xf numFmtId="2" fontId="27" fillId="0" borderId="85" xfId="0" applyNumberFormat="1" applyFont="1" applyBorder="1" applyAlignment="1">
      <alignment horizontal="center" wrapText="1"/>
    </xf>
    <xf numFmtId="4" fontId="28" fillId="0" borderId="85" xfId="0" applyNumberFormat="1" applyFont="1" applyBorder="1" applyAlignment="1">
      <alignment horizontal="center" wrapText="1"/>
    </xf>
    <xf numFmtId="0" fontId="27" fillId="0" borderId="0" xfId="0" applyFont="1" applyAlignment="1">
      <alignment wrapText="1"/>
    </xf>
    <xf numFmtId="1" fontId="27" fillId="0" borderId="35" xfId="0" applyNumberFormat="1" applyFont="1" applyBorder="1" applyAlignment="1">
      <alignment horizontal="center" wrapText="1"/>
    </xf>
    <xf numFmtId="0" fontId="27" fillId="0" borderId="35" xfId="59" applyFont="1" applyFill="1" applyBorder="1" applyAlignment="1">
      <alignment horizontal="left" wrapText="1"/>
      <protection/>
    </xf>
    <xf numFmtId="0" fontId="27" fillId="0" borderId="35" xfId="59" applyFont="1" applyFill="1" applyBorder="1" applyAlignment="1">
      <alignment horizontal="center" wrapText="1"/>
      <protection/>
    </xf>
    <xf numFmtId="4" fontId="27" fillId="0" borderId="35" xfId="59" applyNumberFormat="1" applyFont="1" applyFill="1" applyBorder="1" applyAlignment="1">
      <alignment horizontal="center" vertical="center" wrapText="1"/>
      <protection/>
    </xf>
    <xf numFmtId="0" fontId="27" fillId="0" borderId="35" xfId="59" applyFont="1" applyFill="1" applyBorder="1" applyAlignment="1">
      <alignment horizontal="center"/>
      <protection/>
    </xf>
    <xf numFmtId="4" fontId="27" fillId="0" borderId="35" xfId="59" applyNumberFormat="1" applyFont="1" applyFill="1" applyBorder="1" applyAlignment="1">
      <alignment horizontal="center" vertical="center"/>
      <protection/>
    </xf>
    <xf numFmtId="0" fontId="27" fillId="0" borderId="35" xfId="59" applyFont="1" applyFill="1" applyBorder="1">
      <alignment/>
      <protection/>
    </xf>
    <xf numFmtId="0" fontId="27" fillId="0" borderId="39" xfId="59" applyFont="1" applyFill="1" applyBorder="1" applyAlignment="1">
      <alignment horizontal="center"/>
      <protection/>
    </xf>
    <xf numFmtId="4" fontId="27" fillId="0" borderId="39" xfId="59" applyNumberFormat="1" applyFont="1" applyFill="1" applyBorder="1" applyAlignment="1">
      <alignment horizontal="center" vertical="center"/>
      <protection/>
    </xf>
    <xf numFmtId="4" fontId="27" fillId="0" borderId="35" xfId="59" applyNumberFormat="1" applyFont="1" applyBorder="1" applyAlignment="1">
      <alignment horizontal="center" vertical="center" wrapText="1"/>
      <protection/>
    </xf>
    <xf numFmtId="0" fontId="27" fillId="0" borderId="35" xfId="59" applyFont="1" applyBorder="1" applyAlignment="1">
      <alignment horizontal="center"/>
      <protection/>
    </xf>
    <xf numFmtId="4" fontId="27" fillId="0" borderId="35" xfId="59" applyNumberFormat="1" applyFont="1" applyBorder="1" applyAlignment="1">
      <alignment horizontal="center" vertical="center"/>
      <protection/>
    </xf>
    <xf numFmtId="0" fontId="27" fillId="0" borderId="35" xfId="59" applyFont="1" applyBorder="1">
      <alignment/>
      <protection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4" fontId="27" fillId="0" borderId="0" xfId="0" applyNumberFormat="1" applyFont="1" applyAlignment="1">
      <alignment horizontal="center"/>
    </xf>
    <xf numFmtId="1" fontId="28" fillId="0" borderId="35" xfId="0" applyNumberFormat="1" applyFont="1" applyBorder="1" applyAlignment="1">
      <alignment horizontal="center" vertical="top" wrapText="1"/>
    </xf>
    <xf numFmtId="4" fontId="32" fillId="0" borderId="35" xfId="0" applyNumberFormat="1" applyFont="1" applyBorder="1" applyAlignment="1">
      <alignment horizontal="right" wrapText="1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2" fontId="27" fillId="0" borderId="0" xfId="0" applyNumberFormat="1" applyFont="1" applyAlignment="1">
      <alignment horizontal="center"/>
    </xf>
    <xf numFmtId="0" fontId="27" fillId="0" borderId="114" xfId="0" applyFont="1" applyBorder="1" applyAlignment="1">
      <alignment wrapText="1"/>
    </xf>
    <xf numFmtId="0" fontId="27" fillId="0" borderId="115" xfId="0" applyFont="1" applyBorder="1" applyAlignment="1">
      <alignment horizontal="center" wrapText="1"/>
    </xf>
    <xf numFmtId="2" fontId="28" fillId="0" borderId="35" xfId="0" applyNumberFormat="1" applyFont="1" applyBorder="1" applyAlignment="1">
      <alignment horizontal="center"/>
    </xf>
    <xf numFmtId="0" fontId="27" fillId="0" borderId="35" xfId="59" applyFont="1" applyBorder="1" applyAlignment="1">
      <alignment wrapText="1"/>
      <protection/>
    </xf>
    <xf numFmtId="0" fontId="27" fillId="38" borderId="35" xfId="59" applyFont="1" applyFill="1" applyBorder="1" applyAlignment="1">
      <alignment wrapText="1"/>
      <protection/>
    </xf>
    <xf numFmtId="0" fontId="31" fillId="0" borderId="35" xfId="59" applyFont="1" applyBorder="1" applyAlignment="1">
      <alignment horizontal="left"/>
      <protection/>
    </xf>
    <xf numFmtId="4" fontId="31" fillId="0" borderId="35" xfId="59" applyNumberFormat="1" applyFont="1" applyBorder="1" applyAlignment="1">
      <alignment horizontal="center"/>
      <protection/>
    </xf>
    <xf numFmtId="0" fontId="27" fillId="0" borderId="39" xfId="59" applyFont="1" applyFill="1" applyBorder="1" applyAlignment="1">
      <alignment wrapText="1"/>
      <protection/>
    </xf>
    <xf numFmtId="0" fontId="31" fillId="0" borderId="39" xfId="59" applyFont="1" applyFill="1" applyBorder="1" applyAlignment="1">
      <alignment horizontal="left"/>
      <protection/>
    </xf>
    <xf numFmtId="4" fontId="31" fillId="0" borderId="39" xfId="59" applyNumberFormat="1" applyFont="1" applyFill="1" applyBorder="1" applyAlignment="1">
      <alignment horizontal="center"/>
      <protection/>
    </xf>
    <xf numFmtId="0" fontId="31" fillId="0" borderId="35" xfId="0" applyFont="1" applyBorder="1" applyAlignment="1">
      <alignment vertical="top" wrapText="1"/>
    </xf>
    <xf numFmtId="0" fontId="31" fillId="0" borderId="35" xfId="0" applyFont="1" applyBorder="1" applyAlignment="1">
      <alignment horizontal="left" vertical="top" wrapText="1"/>
    </xf>
    <xf numFmtId="0" fontId="27" fillId="0" borderId="35" xfId="0" applyFont="1" applyBorder="1" applyAlignment="1">
      <alignment horizontal="center" vertical="top" wrapText="1"/>
    </xf>
    <xf numFmtId="2" fontId="27" fillId="0" borderId="35" xfId="0" applyNumberFormat="1" applyFont="1" applyBorder="1" applyAlignment="1">
      <alignment horizontal="center" vertical="top" wrapText="1"/>
    </xf>
    <xf numFmtId="2" fontId="27" fillId="0" borderId="35" xfId="0" applyNumberFormat="1" applyFont="1" applyBorder="1" applyAlignment="1">
      <alignment horizontal="center"/>
    </xf>
    <xf numFmtId="0" fontId="20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wrapText="1"/>
    </xf>
    <xf numFmtId="0" fontId="19" fillId="34" borderId="85" xfId="0" applyFont="1" applyFill="1" applyBorder="1" applyAlignment="1">
      <alignment horizontal="left" vertical="center" wrapText="1"/>
    </xf>
    <xf numFmtId="0" fontId="19" fillId="34" borderId="85" xfId="0" applyFont="1" applyFill="1" applyBorder="1" applyAlignment="1">
      <alignment horizontal="center" vertical="center" wrapText="1"/>
    </xf>
    <xf numFmtId="2" fontId="19" fillId="34" borderId="85" xfId="0" applyNumberFormat="1" applyFont="1" applyFill="1" applyBorder="1" applyAlignment="1">
      <alignment horizontal="center" vertical="center" wrapText="1"/>
    </xf>
    <xf numFmtId="4" fontId="19" fillId="34" borderId="85" xfId="0" applyNumberFormat="1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vertical="center" wrapText="1"/>
    </xf>
    <xf numFmtId="0" fontId="19" fillId="34" borderId="35" xfId="0" applyFont="1" applyFill="1" applyBorder="1" applyAlignment="1">
      <alignment horizontal="center" vertical="center" wrapText="1"/>
    </xf>
    <xf numFmtId="2" fontId="19" fillId="34" borderId="35" xfId="0" applyNumberFormat="1" applyFont="1" applyFill="1" applyBorder="1" applyAlignment="1">
      <alignment horizontal="center" vertical="center" wrapText="1"/>
    </xf>
    <xf numFmtId="4" fontId="20" fillId="34" borderId="35" xfId="0" applyNumberFormat="1" applyFont="1" applyFill="1" applyBorder="1" applyAlignment="1">
      <alignment vertical="center" wrapText="1"/>
    </xf>
    <xf numFmtId="0" fontId="19" fillId="34" borderId="35" xfId="0" applyFont="1" applyFill="1" applyBorder="1" applyAlignment="1">
      <alignment horizontal="left" vertical="center" wrapText="1"/>
    </xf>
    <xf numFmtId="0" fontId="19" fillId="0" borderId="85" xfId="0" applyFont="1" applyFill="1" applyBorder="1" applyAlignment="1">
      <alignment horizontal="center" vertical="center" wrapText="1"/>
    </xf>
    <xf numFmtId="2" fontId="19" fillId="0" borderId="35" xfId="0" applyNumberFormat="1" applyFont="1" applyFill="1" applyBorder="1" applyAlignment="1">
      <alignment horizontal="center" vertical="center" wrapText="1"/>
    </xf>
    <xf numFmtId="4" fontId="19" fillId="0" borderId="85" xfId="0" applyNumberFormat="1" applyFont="1" applyFill="1" applyBorder="1" applyAlignment="1">
      <alignment horizontal="center" vertical="center" wrapText="1"/>
    </xf>
    <xf numFmtId="4" fontId="20" fillId="34" borderId="35" xfId="0" applyNumberFormat="1" applyFont="1" applyFill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8" fillId="34" borderId="26" xfId="0" applyFont="1" applyFill="1" applyBorder="1" applyAlignment="1" applyProtection="1">
      <alignment wrapText="1"/>
      <protection locked="0"/>
    </xf>
    <xf numFmtId="0" fontId="27" fillId="34" borderId="15" xfId="63" applyFont="1" applyFill="1" applyBorder="1" applyAlignment="1">
      <alignment horizontal="center"/>
      <protection/>
    </xf>
    <xf numFmtId="0" fontId="93" fillId="34" borderId="35" xfId="54" applyFont="1" applyFill="1" applyBorder="1" applyAlignment="1">
      <alignment vertical="top" wrapText="1"/>
      <protection/>
    </xf>
    <xf numFmtId="0" fontId="0" fillId="34" borderId="0" xfId="0" applyFill="1" applyAlignment="1">
      <alignment/>
    </xf>
    <xf numFmtId="1" fontId="27" fillId="34" borderId="83" xfId="63" applyNumberFormat="1" applyFont="1" applyFill="1" applyBorder="1" applyAlignment="1">
      <alignment horizontal="center"/>
      <protection/>
    </xf>
    <xf numFmtId="0" fontId="1" fillId="34" borderId="25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2" fontId="27" fillId="0" borderId="35" xfId="0" applyNumberFormat="1" applyFont="1" applyBorder="1" applyAlignment="1">
      <alignment horizontal="center" vertical="center"/>
    </xf>
    <xf numFmtId="0" fontId="1" fillId="34" borderId="39" xfId="0" applyFont="1" applyFill="1" applyBorder="1" applyAlignment="1">
      <alignment horizontal="left" vertical="top" wrapText="1"/>
    </xf>
    <xf numFmtId="0" fontId="8" fillId="34" borderId="64" xfId="0" applyFont="1" applyFill="1" applyBorder="1" applyAlignment="1" applyProtection="1">
      <alignment wrapText="1"/>
      <protection locked="0"/>
    </xf>
    <xf numFmtId="4" fontId="27" fillId="0" borderId="35" xfId="0" applyNumberFormat="1" applyFont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8" fillId="34" borderId="12" xfId="0" applyFont="1" applyFill="1" applyBorder="1" applyAlignment="1" applyProtection="1">
      <alignment horizontal="left" vertical="top" wrapText="1"/>
      <protection locked="0"/>
    </xf>
    <xf numFmtId="0" fontId="27" fillId="34" borderId="35" xfId="63" applyFont="1" applyFill="1" applyBorder="1" applyAlignment="1">
      <alignment horizontal="center"/>
      <protection/>
    </xf>
    <xf numFmtId="0" fontId="27" fillId="34" borderId="35" xfId="63" applyFont="1" applyFill="1" applyBorder="1" applyAlignment="1">
      <alignment horizontal="left" wrapText="1"/>
      <protection/>
    </xf>
    <xf numFmtId="0" fontId="27" fillId="34" borderId="35" xfId="63" applyFont="1" applyFill="1" applyBorder="1" applyAlignment="1">
      <alignment horizontal="center" wrapText="1"/>
      <protection/>
    </xf>
    <xf numFmtId="4" fontId="0" fillId="0" borderId="0" xfId="0" applyNumberFormat="1" applyAlignment="1">
      <alignment/>
    </xf>
    <xf numFmtId="0" fontId="27" fillId="34" borderId="15" xfId="63" applyFont="1" applyFill="1" applyBorder="1" applyAlignment="1">
      <alignment horizontal="left" wrapText="1"/>
      <protection/>
    </xf>
    <xf numFmtId="0" fontId="27" fillId="34" borderId="15" xfId="63" applyFont="1" applyFill="1" applyBorder="1" applyAlignment="1">
      <alignment horizontal="center" wrapText="1"/>
      <protection/>
    </xf>
    <xf numFmtId="1" fontId="27" fillId="34" borderId="15" xfId="63" applyNumberFormat="1" applyFont="1" applyFill="1" applyBorder="1" applyAlignment="1">
      <alignment horizontal="center"/>
      <protection/>
    </xf>
    <xf numFmtId="0" fontId="27" fillId="34" borderId="0" xfId="63" applyFont="1" applyFill="1">
      <alignment/>
      <protection/>
    </xf>
    <xf numFmtId="0" fontId="27" fillId="34" borderId="35" xfId="63" applyFont="1" applyFill="1" applyBorder="1" applyAlignment="1">
      <alignment horizontal="center" vertical="center" wrapText="1"/>
      <protection/>
    </xf>
    <xf numFmtId="0" fontId="93" fillId="34" borderId="35" xfId="54" applyFont="1" applyFill="1" applyBorder="1" applyAlignment="1">
      <alignment wrapText="1"/>
      <protection/>
    </xf>
    <xf numFmtId="0" fontId="93" fillId="34" borderId="35" xfId="54" applyFont="1" applyFill="1" applyBorder="1" applyAlignment="1">
      <alignment horizontal="center" vertical="center" wrapText="1"/>
      <protection/>
    </xf>
    <xf numFmtId="0" fontId="27" fillId="34" borderId="35" xfId="63" applyFont="1" applyFill="1" applyBorder="1" applyAlignment="1">
      <alignment horizontal="center" vertical="center"/>
      <protection/>
    </xf>
    <xf numFmtId="1" fontId="27" fillId="34" borderId="35" xfId="63" applyNumberFormat="1" applyFont="1" applyFill="1" applyBorder="1" applyAlignment="1">
      <alignment horizontal="center" vertical="center"/>
      <protection/>
    </xf>
    <xf numFmtId="4" fontId="27" fillId="34" borderId="35" xfId="63" applyNumberFormat="1" applyFont="1" applyFill="1" applyBorder="1" applyAlignment="1">
      <alignment horizontal="center" vertical="center" wrapText="1"/>
      <protection/>
    </xf>
    <xf numFmtId="181" fontId="27" fillId="34" borderId="35" xfId="75" applyNumberFormat="1" applyFont="1" applyFill="1" applyBorder="1" applyAlignment="1">
      <alignment horizontal="center" vertical="center" wrapText="1"/>
    </xf>
    <xf numFmtId="4" fontId="27" fillId="34" borderId="35" xfId="63" applyNumberFormat="1" applyFont="1" applyFill="1" applyBorder="1" applyAlignment="1">
      <alignment horizontal="center" vertical="center"/>
      <protection/>
    </xf>
    <xf numFmtId="1" fontId="27" fillId="34" borderId="116" xfId="63" applyNumberFormat="1" applyFont="1" applyFill="1" applyBorder="1" applyAlignment="1">
      <alignment horizontal="center"/>
      <protection/>
    </xf>
    <xf numFmtId="1" fontId="27" fillId="34" borderId="50" xfId="63" applyNumberFormat="1" applyFont="1" applyFill="1" applyBorder="1" applyAlignment="1">
      <alignment horizontal="center"/>
      <protection/>
    </xf>
    <xf numFmtId="4" fontId="27" fillId="34" borderId="50" xfId="63" applyNumberFormat="1" applyFont="1" applyFill="1" applyBorder="1" applyAlignment="1">
      <alignment horizontal="center"/>
      <protection/>
    </xf>
    <xf numFmtId="2" fontId="27" fillId="0" borderId="50" xfId="0" applyNumberFormat="1" applyFont="1" applyBorder="1" applyAlignment="1">
      <alignment horizontal="center" vertical="center" wrapText="1"/>
    </xf>
    <xf numFmtId="2" fontId="27" fillId="0" borderId="86" xfId="0" applyNumberFormat="1" applyFont="1" applyBorder="1" applyAlignment="1">
      <alignment horizontal="right" vertical="center" wrapText="1"/>
    </xf>
    <xf numFmtId="0" fontId="27" fillId="0" borderId="43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113" xfId="0" applyFont="1" applyBorder="1" applyAlignment="1">
      <alignment horizontal="left" vertical="center" wrapText="1"/>
    </xf>
    <xf numFmtId="4" fontId="27" fillId="0" borderId="8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2" fillId="0" borderId="0" xfId="55" applyFont="1" applyFill="1" applyAlignment="1">
      <alignment horizontal="center" wrapText="1"/>
      <protection/>
    </xf>
    <xf numFmtId="0" fontId="27" fillId="0" borderId="0" xfId="71" applyFont="1" applyAlignment="1">
      <alignment horizontal="center" wrapText="1"/>
      <protection/>
    </xf>
    <xf numFmtId="0" fontId="27" fillId="0" borderId="0" xfId="71" applyFont="1">
      <alignment/>
      <protection/>
    </xf>
    <xf numFmtId="0" fontId="28" fillId="0" borderId="0" xfId="0" applyFont="1" applyAlignment="1">
      <alignment horizontal="center"/>
    </xf>
    <xf numFmtId="2" fontId="27" fillId="0" borderId="35" xfId="0" applyNumberFormat="1" applyFont="1" applyBorder="1" applyAlignment="1">
      <alignment horizontal="center" vertical="center" wrapText="1"/>
    </xf>
    <xf numFmtId="0" fontId="25" fillId="0" borderId="35" xfId="55" applyFont="1" applyBorder="1" applyAlignment="1">
      <alignment horizontal="left" vertical="center" wrapText="1"/>
      <protection/>
    </xf>
    <xf numFmtId="0" fontId="25" fillId="0" borderId="35" xfId="55" applyFont="1" applyBorder="1" applyAlignment="1">
      <alignment horizontal="center" vertical="center" wrapText="1"/>
      <protection/>
    </xf>
    <xf numFmtId="0" fontId="25" fillId="0" borderId="35" xfId="55" applyNumberFormat="1" applyFont="1" applyBorder="1" applyAlignment="1">
      <alignment horizontal="center" vertical="center" wrapText="1"/>
      <protection/>
    </xf>
    <xf numFmtId="2" fontId="25" fillId="0" borderId="35" xfId="55" applyNumberFormat="1" applyFont="1" applyBorder="1" applyAlignment="1">
      <alignment horizontal="center" vertical="center" wrapText="1"/>
      <protection/>
    </xf>
    <xf numFmtId="0" fontId="25" fillId="34" borderId="35" xfId="55" applyFont="1" applyFill="1" applyBorder="1" applyAlignment="1">
      <alignment horizontal="left" vertical="center" wrapText="1"/>
      <protection/>
    </xf>
    <xf numFmtId="0" fontId="25" fillId="34" borderId="35" xfId="55" applyFont="1" applyFill="1" applyBorder="1">
      <alignment/>
      <protection/>
    </xf>
    <xf numFmtId="0" fontId="25" fillId="0" borderId="35" xfId="55" applyFont="1" applyBorder="1" applyAlignment="1">
      <alignment horizontal="center"/>
      <protection/>
    </xf>
    <xf numFmtId="4" fontId="25" fillId="0" borderId="35" xfId="55" applyNumberFormat="1" applyFont="1" applyBorder="1" applyAlignment="1">
      <alignment horizontal="center"/>
      <protection/>
    </xf>
    <xf numFmtId="0" fontId="25" fillId="34" borderId="35" xfId="55" applyFont="1" applyFill="1" applyBorder="1" applyAlignment="1">
      <alignment horizontal="center"/>
      <protection/>
    </xf>
    <xf numFmtId="4" fontId="25" fillId="34" borderId="35" xfId="55" applyNumberFormat="1" applyFont="1" applyFill="1" applyBorder="1" applyAlignment="1">
      <alignment horizontal="center"/>
      <protection/>
    </xf>
    <xf numFmtId="0" fontId="25" fillId="0" borderId="35" xfId="55" applyFont="1" applyBorder="1">
      <alignment/>
      <protection/>
    </xf>
    <xf numFmtId="0" fontId="25" fillId="0" borderId="35" xfId="55" applyFont="1" applyFill="1" applyBorder="1">
      <alignment/>
      <protection/>
    </xf>
    <xf numFmtId="0" fontId="25" fillId="0" borderId="35" xfId="55" applyFont="1" applyFill="1" applyBorder="1" applyAlignment="1">
      <alignment horizontal="center"/>
      <protection/>
    </xf>
    <xf numFmtId="4" fontId="25" fillId="0" borderId="35" xfId="55" applyNumberFormat="1" applyFont="1" applyFill="1" applyBorder="1" applyAlignment="1">
      <alignment horizontal="center"/>
      <protection/>
    </xf>
    <xf numFmtId="0" fontId="27" fillId="0" borderId="35" xfId="0" applyFont="1" applyBorder="1" applyAlignment="1">
      <alignment horizontal="justify" vertical="top" wrapText="1"/>
    </xf>
    <xf numFmtId="2" fontId="27" fillId="0" borderId="35" xfId="0" applyNumberFormat="1" applyFont="1" applyBorder="1" applyAlignment="1">
      <alignment horizontal="center" wrapText="1"/>
    </xf>
    <xf numFmtId="0" fontId="25" fillId="0" borderId="50" xfId="55" applyFont="1" applyBorder="1" applyAlignment="1">
      <alignment horizontal="center"/>
      <protection/>
    </xf>
    <xf numFmtId="4" fontId="25" fillId="0" borderId="50" xfId="55" applyNumberFormat="1" applyFont="1" applyBorder="1" applyAlignment="1">
      <alignment horizontal="center"/>
      <protection/>
    </xf>
    <xf numFmtId="0" fontId="27" fillId="34" borderId="35" xfId="55" applyNumberFormat="1" applyFont="1" applyFill="1" applyBorder="1" applyAlignment="1">
      <alignment horizontal="center" vertical="center" wrapText="1"/>
      <protection/>
    </xf>
    <xf numFmtId="0" fontId="25" fillId="0" borderId="35" xfId="55" applyFont="1" applyBorder="1" applyAlignment="1">
      <alignment wrapText="1"/>
      <protection/>
    </xf>
    <xf numFmtId="2" fontId="27" fillId="0" borderId="35" xfId="0" applyNumberFormat="1" applyFont="1" applyBorder="1" applyAlignment="1">
      <alignment/>
    </xf>
    <xf numFmtId="0" fontId="27" fillId="0" borderId="35" xfId="0" applyNumberFormat="1" applyFont="1" applyBorder="1" applyAlignment="1">
      <alignment horizontal="center"/>
    </xf>
    <xf numFmtId="4" fontId="28" fillId="0" borderId="35" xfId="0" applyNumberFormat="1" applyFont="1" applyBorder="1" applyAlignment="1">
      <alignment horizontal="center"/>
    </xf>
    <xf numFmtId="0" fontId="27" fillId="0" borderId="35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wrapText="1"/>
    </xf>
    <xf numFmtId="0" fontId="41" fillId="0" borderId="35" xfId="0" applyFont="1" applyFill="1" applyBorder="1" applyAlignment="1">
      <alignment horizontal="center" wrapText="1"/>
    </xf>
    <xf numFmtId="0" fontId="27" fillId="0" borderId="35" xfId="0" applyFont="1" applyFill="1" applyBorder="1" applyAlignment="1">
      <alignment horizontal="center" wrapText="1"/>
    </xf>
    <xf numFmtId="2" fontId="27" fillId="0" borderId="35" xfId="0" applyNumberFormat="1" applyFont="1" applyFill="1" applyBorder="1" applyAlignment="1">
      <alignment horizontal="center" wrapText="1"/>
    </xf>
    <xf numFmtId="4" fontId="27" fillId="0" borderId="35" xfId="0" applyNumberFormat="1" applyFont="1" applyFill="1" applyBorder="1" applyAlignment="1">
      <alignment horizontal="center" wrapText="1"/>
    </xf>
    <xf numFmtId="4" fontId="32" fillId="0" borderId="35" xfId="0" applyNumberFormat="1" applyFont="1" applyFill="1" applyBorder="1" applyAlignment="1">
      <alignment horizontal="center" wrapText="1"/>
    </xf>
    <xf numFmtId="0" fontId="41" fillId="0" borderId="0" xfId="0" applyFont="1" applyFill="1" applyAlignment="1">
      <alignment wrapText="1"/>
    </xf>
    <xf numFmtId="0" fontId="27" fillId="0" borderId="0" xfId="0" applyFont="1" applyFill="1" applyAlignment="1">
      <alignment horizontal="center" wrapText="1"/>
    </xf>
    <xf numFmtId="2" fontId="27" fillId="0" borderId="0" xfId="0" applyNumberFormat="1" applyFont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4" fontId="28" fillId="0" borderId="35" xfId="0" applyNumberFormat="1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center" wrapText="1"/>
    </xf>
    <xf numFmtId="0" fontId="33" fillId="0" borderId="35" xfId="0" applyFont="1" applyBorder="1" applyAlignment="1">
      <alignment horizontal="left" wrapText="1"/>
    </xf>
    <xf numFmtId="4" fontId="27" fillId="0" borderId="35" xfId="0" applyNumberFormat="1" applyFont="1" applyBorder="1" applyAlignment="1">
      <alignment horizontal="center" wrapText="1"/>
    </xf>
    <xf numFmtId="2" fontId="27" fillId="0" borderId="0" xfId="0" applyNumberFormat="1" applyFont="1" applyBorder="1" applyAlignment="1">
      <alignment horizontal="center" wrapText="1"/>
    </xf>
    <xf numFmtId="2" fontId="32" fillId="0" borderId="0" xfId="0" applyNumberFormat="1" applyFont="1" applyBorder="1" applyAlignment="1">
      <alignment horizontal="center" wrapText="1"/>
    </xf>
    <xf numFmtId="2" fontId="33" fillId="0" borderId="0" xfId="0" applyNumberFormat="1" applyFont="1" applyAlignment="1">
      <alignment horizontal="center" wrapText="1"/>
    </xf>
    <xf numFmtId="0" fontId="27" fillId="0" borderId="0" xfId="0" applyFont="1" applyFill="1" applyAlignment="1">
      <alignment wrapText="1"/>
    </xf>
    <xf numFmtId="4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left" wrapText="1"/>
    </xf>
    <xf numFmtId="0" fontId="32" fillId="0" borderId="0" xfId="0" applyFont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34" borderId="0" xfId="59" applyFont="1" applyFill="1" applyAlignment="1">
      <alignment/>
      <protection/>
    </xf>
    <xf numFmtId="0" fontId="27" fillId="34" borderId="0" xfId="0" applyFont="1" applyFill="1" applyAlignment="1">
      <alignment/>
    </xf>
    <xf numFmtId="0" fontId="27" fillId="0" borderId="0" xfId="59" applyFont="1">
      <alignment/>
      <protection/>
    </xf>
    <xf numFmtId="0" fontId="17" fillId="0" borderId="0" xfId="0" applyFont="1" applyAlignment="1">
      <alignment horizontal="center"/>
    </xf>
    <xf numFmtId="0" fontId="27" fillId="0" borderId="35" xfId="59" applyFont="1" applyBorder="1" applyAlignment="1">
      <alignment horizontal="center" wrapText="1"/>
      <protection/>
    </xf>
    <xf numFmtId="4" fontId="28" fillId="0" borderId="35" xfId="59" applyNumberFormat="1" applyFont="1" applyBorder="1" applyAlignment="1">
      <alignment horizontal="center" vertical="center"/>
      <protection/>
    </xf>
    <xf numFmtId="0" fontId="27" fillId="0" borderId="0" xfId="59" applyFont="1" applyBorder="1">
      <alignment/>
      <protection/>
    </xf>
    <xf numFmtId="0" fontId="28" fillId="0" borderId="0" xfId="59" applyFont="1" applyBorder="1" applyAlignment="1">
      <alignment horizontal="right"/>
      <protection/>
    </xf>
    <xf numFmtId="4" fontId="28" fillId="0" borderId="35" xfId="59" applyNumberFormat="1" applyFont="1" applyBorder="1" applyAlignment="1">
      <alignment horizontal="center"/>
      <protection/>
    </xf>
    <xf numFmtId="0" fontId="28" fillId="0" borderId="0" xfId="59" applyFont="1" applyBorder="1">
      <alignment/>
      <protection/>
    </xf>
    <xf numFmtId="4" fontId="28" fillId="0" borderId="0" xfId="59" applyNumberFormat="1" applyFont="1" applyBorder="1" applyAlignment="1">
      <alignment horizontal="center"/>
      <protection/>
    </xf>
    <xf numFmtId="4" fontId="27" fillId="0" borderId="35" xfId="0" applyNumberFormat="1" applyFont="1" applyBorder="1" applyAlignment="1">
      <alignment horizontal="center"/>
    </xf>
    <xf numFmtId="0" fontId="27" fillId="0" borderId="35" xfId="0" applyFont="1" applyBorder="1" applyAlignment="1">
      <alignment horizontal="justify" wrapText="1"/>
    </xf>
    <xf numFmtId="4" fontId="27" fillId="0" borderId="35" xfId="59" applyNumberFormat="1" applyFont="1" applyBorder="1" applyAlignment="1">
      <alignment horizontal="center"/>
      <protection/>
    </xf>
    <xf numFmtId="4" fontId="27" fillId="0" borderId="35" xfId="59" applyNumberFormat="1" applyFont="1" applyBorder="1" applyAlignment="1">
      <alignment horizontal="center" wrapText="1"/>
      <protection/>
    </xf>
    <xf numFmtId="4" fontId="27" fillId="38" borderId="35" xfId="59" applyNumberFormat="1" applyFont="1" applyFill="1" applyBorder="1" applyAlignment="1">
      <alignment horizontal="center"/>
      <protection/>
    </xf>
    <xf numFmtId="4" fontId="17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2" fontId="28" fillId="0" borderId="0" xfId="0" applyNumberFormat="1" applyFont="1" applyBorder="1" applyAlignment="1">
      <alignment horizontal="center"/>
    </xf>
    <xf numFmtId="0" fontId="31" fillId="0" borderId="35" xfId="59" applyFont="1" applyBorder="1">
      <alignment/>
      <protection/>
    </xf>
    <xf numFmtId="0" fontId="31" fillId="0" borderId="35" xfId="59" applyFont="1" applyBorder="1" applyAlignment="1">
      <alignment wrapText="1"/>
      <protection/>
    </xf>
    <xf numFmtId="0" fontId="19" fillId="0" borderId="35" xfId="0" applyFont="1" applyBorder="1" applyAlignment="1">
      <alignment horizontal="center"/>
    </xf>
    <xf numFmtId="0" fontId="19" fillId="0" borderId="114" xfId="0" applyFont="1" applyBorder="1" applyAlignment="1">
      <alignment wrapText="1"/>
    </xf>
    <xf numFmtId="0" fontId="19" fillId="0" borderId="115" xfId="0" applyFont="1" applyBorder="1" applyAlignment="1">
      <alignment horizontal="center" wrapText="1"/>
    </xf>
    <xf numFmtId="4" fontId="20" fillId="0" borderId="35" xfId="0" applyNumberFormat="1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2" fontId="17" fillId="0" borderId="0" xfId="0" applyNumberFormat="1" applyFont="1" applyAlignment="1">
      <alignment horizontal="center"/>
    </xf>
    <xf numFmtId="0" fontId="17" fillId="34" borderId="0" xfId="0" applyFont="1" applyFill="1" applyAlignment="1">
      <alignment horizontal="left"/>
    </xf>
    <xf numFmtId="0" fontId="17" fillId="34" borderId="0" xfId="0" applyFont="1" applyFill="1" applyAlignment="1">
      <alignment horizontal="center"/>
    </xf>
    <xf numFmtId="4" fontId="28" fillId="34" borderId="35" xfId="0" applyNumberFormat="1" applyFont="1" applyFill="1" applyBorder="1" applyAlignment="1">
      <alignment horizontal="center" wrapText="1"/>
    </xf>
    <xf numFmtId="4" fontId="28" fillId="34" borderId="35" xfId="0" applyNumberFormat="1" applyFont="1" applyFill="1" applyBorder="1" applyAlignment="1">
      <alignment horizontal="center"/>
    </xf>
    <xf numFmtId="4" fontId="28" fillId="34" borderId="3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5" fillId="0" borderId="108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45" fillId="0" borderId="117" xfId="0" applyFont="1" applyFill="1" applyBorder="1" applyAlignment="1">
      <alignment horizontal="center" vertical="center" wrapText="1"/>
    </xf>
    <xf numFmtId="0" fontId="45" fillId="0" borderId="118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77" xfId="0" applyFont="1" applyFill="1" applyBorder="1" applyAlignment="1">
      <alignment horizontal="center" vertical="center" wrapText="1"/>
    </xf>
    <xf numFmtId="0" fontId="45" fillId="34" borderId="81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77" xfId="0" applyFont="1" applyFill="1" applyBorder="1" applyAlignment="1">
      <alignment horizontal="center" vertical="center" wrapText="1"/>
    </xf>
    <xf numFmtId="0" fontId="45" fillId="0" borderId="119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34" borderId="35" xfId="0" applyFont="1" applyFill="1" applyBorder="1" applyAlignment="1">
      <alignment horizontal="center" vertical="center" wrapText="1"/>
    </xf>
    <xf numFmtId="0" fontId="94" fillId="0" borderId="0" xfId="0" applyFont="1" applyFill="1" applyAlignment="1">
      <alignment/>
    </xf>
    <xf numFmtId="0" fontId="8" fillId="0" borderId="84" xfId="0" applyFont="1" applyFill="1" applyBorder="1" applyAlignment="1">
      <alignment horizontal="left" vertical="center" wrapText="1"/>
    </xf>
    <xf numFmtId="0" fontId="8" fillId="0" borderId="120" xfId="0" applyFont="1" applyFill="1" applyBorder="1" applyAlignment="1">
      <alignment horizontal="center" vertical="center" wrapText="1"/>
    </xf>
    <xf numFmtId="4" fontId="8" fillId="0" borderId="85" xfId="0" applyNumberFormat="1" applyFont="1" applyFill="1" applyBorder="1" applyAlignment="1">
      <alignment horizontal="center" vertical="center" wrapText="1"/>
    </xf>
    <xf numFmtId="4" fontId="8" fillId="0" borderId="121" xfId="0" applyNumberFormat="1" applyFont="1" applyFill="1" applyBorder="1" applyAlignment="1">
      <alignment horizontal="center" vertical="center" wrapText="1"/>
    </xf>
    <xf numFmtId="2" fontId="8" fillId="0" borderId="120" xfId="0" applyNumberFormat="1" applyFont="1" applyFill="1" applyBorder="1" applyAlignment="1">
      <alignment horizontal="center" vertical="center" wrapText="1"/>
    </xf>
    <xf numFmtId="2" fontId="8" fillId="0" borderId="85" xfId="0" applyNumberFormat="1" applyFont="1" applyFill="1" applyBorder="1" applyAlignment="1">
      <alignment horizontal="center"/>
    </xf>
    <xf numFmtId="4" fontId="8" fillId="0" borderId="86" xfId="0" applyNumberFormat="1" applyFont="1" applyFill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 wrapText="1"/>
    </xf>
    <xf numFmtId="0" fontId="8" fillId="0" borderId="113" xfId="0" applyFont="1" applyFill="1" applyBorder="1" applyAlignment="1">
      <alignment horizontal="center" vertical="center" wrapText="1"/>
    </xf>
    <xf numFmtId="4" fontId="8" fillId="0" borderId="90" xfId="0" applyNumberFormat="1" applyFont="1" applyFill="1" applyBorder="1" applyAlignment="1">
      <alignment horizontal="center" vertical="center" wrapText="1"/>
    </xf>
    <xf numFmtId="0" fontId="8" fillId="34" borderId="120" xfId="0" applyFont="1" applyFill="1" applyBorder="1" applyAlignment="1">
      <alignment horizontal="center" vertical="center" wrapText="1"/>
    </xf>
    <xf numFmtId="2" fontId="8" fillId="34" borderId="85" xfId="0" applyNumberFormat="1" applyFont="1" applyFill="1" applyBorder="1" applyAlignment="1">
      <alignment horizontal="center"/>
    </xf>
    <xf numFmtId="4" fontId="8" fillId="34" borderId="121" xfId="0" applyNumberFormat="1" applyFont="1" applyFill="1" applyBorder="1" applyAlignment="1">
      <alignment horizontal="center" vertical="center" wrapText="1"/>
    </xf>
    <xf numFmtId="4" fontId="8" fillId="34" borderId="85" xfId="0" applyNumberFormat="1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/>
    </xf>
    <xf numFmtId="4" fontId="8" fillId="0" borderId="122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23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/>
    </xf>
    <xf numFmtId="4" fontId="8" fillId="0" borderId="124" xfId="0" applyNumberFormat="1" applyFont="1" applyFill="1" applyBorder="1" applyAlignment="1">
      <alignment horizontal="center" vertical="center" wrapText="1"/>
    </xf>
    <xf numFmtId="0" fontId="8" fillId="34" borderId="123" xfId="0" applyFont="1" applyFill="1" applyBorder="1" applyAlignment="1">
      <alignment horizontal="center"/>
    </xf>
    <xf numFmtId="4" fontId="8" fillId="34" borderId="124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left" vertical="center" wrapText="1"/>
    </xf>
    <xf numFmtId="43" fontId="8" fillId="0" borderId="124" xfId="75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124" xfId="0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 wrapText="1"/>
    </xf>
    <xf numFmtId="0" fontId="8" fillId="34" borderId="123" xfId="0" applyFont="1" applyFill="1" applyBorder="1" applyAlignment="1">
      <alignment horizontal="center" vertical="center" wrapText="1"/>
    </xf>
    <xf numFmtId="2" fontId="8" fillId="34" borderId="35" xfId="0" applyNumberFormat="1" applyFont="1" applyFill="1" applyBorder="1" applyAlignment="1">
      <alignment horizontal="center" vertical="center" wrapText="1"/>
    </xf>
    <xf numFmtId="0" fontId="8" fillId="34" borderId="12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left" vertical="center" wrapText="1"/>
    </xf>
    <xf numFmtId="2" fontId="8" fillId="34" borderId="123" xfId="0" applyNumberFormat="1" applyFont="1" applyFill="1" applyBorder="1" applyAlignment="1">
      <alignment horizontal="center" vertical="center" wrapText="1"/>
    </xf>
    <xf numFmtId="4" fontId="8" fillId="34" borderId="15" xfId="0" applyNumberFormat="1" applyFont="1" applyFill="1" applyBorder="1" applyAlignment="1">
      <alignment horizontal="center" vertical="center" wrapText="1"/>
    </xf>
    <xf numFmtId="4" fontId="8" fillId="34" borderId="35" xfId="0" applyNumberFormat="1" applyFont="1" applyFill="1" applyBorder="1" applyAlignment="1">
      <alignment horizontal="center" vertical="center" wrapText="1"/>
    </xf>
    <xf numFmtId="4" fontId="8" fillId="34" borderId="29" xfId="0" applyNumberFormat="1" applyFont="1" applyFill="1" applyBorder="1" applyAlignment="1">
      <alignment horizontal="center" vertical="center" wrapText="1"/>
    </xf>
    <xf numFmtId="0" fontId="8" fillId="34" borderId="85" xfId="0" applyFont="1" applyFill="1" applyBorder="1" applyAlignment="1">
      <alignment horizontal="center"/>
    </xf>
    <xf numFmtId="4" fontId="8" fillId="34" borderId="90" xfId="0" applyNumberFormat="1" applyFont="1" applyFill="1" applyBorder="1" applyAlignment="1">
      <alignment horizontal="center" vertical="center" wrapText="1"/>
    </xf>
    <xf numFmtId="4" fontId="8" fillId="34" borderId="122" xfId="0" applyNumberFormat="1" applyFont="1" applyFill="1" applyBorder="1" applyAlignment="1">
      <alignment horizontal="center" vertical="center" wrapText="1"/>
    </xf>
    <xf numFmtId="2" fontId="8" fillId="0" borderId="123" xfId="0" applyNumberFormat="1" applyFont="1" applyFill="1" applyBorder="1" applyAlignment="1">
      <alignment horizontal="center" vertical="center" wrapText="1"/>
    </xf>
    <xf numFmtId="43" fontId="8" fillId="0" borderId="29" xfId="75" applyFont="1" applyFill="1" applyBorder="1" applyAlignment="1">
      <alignment horizontal="center" vertical="center" wrapText="1"/>
    </xf>
    <xf numFmtId="174" fontId="8" fillId="34" borderId="123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174" fontId="8" fillId="34" borderId="123" xfId="0" applyNumberFormat="1" applyFont="1" applyFill="1" applyBorder="1" applyAlignment="1">
      <alignment horizontal="center"/>
    </xf>
    <xf numFmtId="0" fontId="8" fillId="0" borderId="56" xfId="0" applyFont="1" applyFill="1" applyBorder="1" applyAlignment="1">
      <alignment vertical="center" wrapText="1"/>
    </xf>
    <xf numFmtId="0" fontId="47" fillId="0" borderId="56" xfId="0" applyFont="1" applyFill="1" applyBorder="1" applyAlignment="1">
      <alignment vertical="center" wrapText="1"/>
    </xf>
    <xf numFmtId="2" fontId="8" fillId="0" borderId="108" xfId="0" applyNumberFormat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43" fontId="8" fillId="0" borderId="118" xfId="75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118" xfId="0" applyFont="1" applyFill="1" applyBorder="1" applyAlignment="1">
      <alignment horizontal="center" vertical="center" wrapText="1"/>
    </xf>
    <xf numFmtId="43" fontId="8" fillId="0" borderId="30" xfId="75" applyFont="1" applyFill="1" applyBorder="1" applyAlignment="1">
      <alignment horizontal="center" vertical="center" wrapText="1"/>
    </xf>
    <xf numFmtId="0" fontId="8" fillId="34" borderId="108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11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center" vertical="center" wrapText="1"/>
    </xf>
    <xf numFmtId="0" fontId="47" fillId="0" borderId="127" xfId="0" applyFont="1" applyFill="1" applyBorder="1" applyAlignment="1">
      <alignment vertical="center" wrapText="1"/>
    </xf>
    <xf numFmtId="182" fontId="10" fillId="0" borderId="127" xfId="0" applyNumberFormat="1" applyFont="1" applyFill="1" applyBorder="1" applyAlignment="1">
      <alignment horizontal="center" vertical="center" wrapText="1"/>
    </xf>
    <xf numFmtId="182" fontId="10" fillId="0" borderId="128" xfId="0" applyNumberFormat="1" applyFont="1" applyFill="1" applyBorder="1" applyAlignment="1">
      <alignment horizontal="center" vertical="center" wrapText="1"/>
    </xf>
    <xf numFmtId="182" fontId="10" fillId="34" borderId="1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wrapText="1"/>
    </xf>
    <xf numFmtId="4" fontId="1" fillId="0" borderId="35" xfId="0" applyNumberFormat="1" applyFont="1" applyFill="1" applyBorder="1" applyAlignment="1">
      <alignment wrapText="1"/>
    </xf>
    <xf numFmtId="0" fontId="8" fillId="0" borderId="129" xfId="0" applyFont="1" applyFill="1" applyBorder="1" applyAlignment="1" applyProtection="1">
      <alignment wrapText="1"/>
      <protection locked="0"/>
    </xf>
    <xf numFmtId="4" fontId="27" fillId="0" borderId="0" xfId="0" applyNumberFormat="1" applyFont="1" applyAlignment="1">
      <alignment horizontal="center" vertical="center" wrapText="1"/>
    </xf>
    <xf numFmtId="4" fontId="27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4" fontId="1" fillId="34" borderId="13" xfId="0" applyNumberFormat="1" applyFont="1" applyFill="1" applyBorder="1" applyAlignment="1" applyProtection="1">
      <alignment wrapText="1"/>
      <protection locked="0"/>
    </xf>
    <xf numFmtId="174" fontId="1" fillId="34" borderId="31" xfId="0" applyNumberFormat="1" applyFont="1" applyFill="1" applyBorder="1" applyAlignment="1" applyProtection="1">
      <alignment horizontal="center" wrapText="1"/>
      <protection locked="0"/>
    </xf>
    <xf numFmtId="4" fontId="1" fillId="34" borderId="10" xfId="0" applyNumberFormat="1" applyFont="1" applyFill="1" applyBorder="1" applyAlignment="1" applyProtection="1">
      <alignment wrapText="1"/>
      <protection locked="0"/>
    </xf>
    <xf numFmtId="174" fontId="1" fillId="34" borderId="32" xfId="0" applyNumberFormat="1" applyFont="1" applyFill="1" applyBorder="1" applyAlignment="1" applyProtection="1">
      <alignment horizontal="center" wrapText="1"/>
      <protection locked="0"/>
    </xf>
    <xf numFmtId="0" fontId="27" fillId="0" borderId="35" xfId="0" applyFont="1" applyBorder="1" applyAlignment="1">
      <alignment/>
    </xf>
    <xf numFmtId="43" fontId="28" fillId="0" borderId="35" xfId="75" applyFont="1" applyBorder="1" applyAlignment="1">
      <alignment horizontal="center" wrapText="1"/>
    </xf>
    <xf numFmtId="4" fontId="1" fillId="34" borderId="14" xfId="0" applyNumberFormat="1" applyFont="1" applyFill="1" applyBorder="1" applyAlignment="1" applyProtection="1">
      <alignment wrapText="1"/>
      <protection locked="0"/>
    </xf>
    <xf numFmtId="4" fontId="1" fillId="34" borderId="130" xfId="0" applyNumberFormat="1" applyFont="1" applyFill="1" applyBorder="1" applyAlignment="1">
      <alignment wrapText="1"/>
    </xf>
    <xf numFmtId="174" fontId="1" fillId="34" borderId="63" xfId="0" applyNumberFormat="1" applyFont="1" applyFill="1" applyBorder="1" applyAlignment="1" applyProtection="1">
      <alignment horizontal="center" wrapText="1"/>
      <protection locked="0"/>
    </xf>
    <xf numFmtId="4" fontId="1" fillId="34" borderId="131" xfId="0" applyNumberFormat="1" applyFont="1" applyFill="1" applyBorder="1" applyAlignment="1" applyProtection="1">
      <alignment wrapText="1"/>
      <protection locked="0"/>
    </xf>
    <xf numFmtId="174" fontId="1" fillId="34" borderId="132" xfId="0" applyNumberFormat="1" applyFont="1" applyFill="1" applyBorder="1" applyAlignment="1" applyProtection="1">
      <alignment horizontal="center" wrapText="1"/>
      <protection locked="0"/>
    </xf>
    <xf numFmtId="4" fontId="1" fillId="34" borderId="133" xfId="0" applyNumberFormat="1" applyFont="1" applyFill="1" applyBorder="1" applyAlignment="1" applyProtection="1">
      <alignment wrapText="1"/>
      <protection locked="0"/>
    </xf>
    <xf numFmtId="174" fontId="1" fillId="34" borderId="134" xfId="0" applyNumberFormat="1" applyFont="1" applyFill="1" applyBorder="1" applyAlignment="1" applyProtection="1">
      <alignment horizontal="center" wrapText="1"/>
      <protection locked="0"/>
    </xf>
    <xf numFmtId="0" fontId="45" fillId="34" borderId="108" xfId="0" applyFont="1" applyFill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34" borderId="50" xfId="0" applyFont="1" applyFill="1" applyBorder="1" applyAlignment="1">
      <alignment horizontal="center" vertical="center" wrapText="1"/>
    </xf>
    <xf numFmtId="0" fontId="45" fillId="34" borderId="118" xfId="0" applyFont="1" applyFill="1" applyBorder="1" applyAlignment="1">
      <alignment horizontal="center" vertical="center" wrapText="1"/>
    </xf>
    <xf numFmtId="0" fontId="45" fillId="0" borderId="81" xfId="0" applyFont="1" applyBorder="1" applyAlignment="1">
      <alignment horizontal="center" vertical="center" wrapText="1"/>
    </xf>
    <xf numFmtId="0" fontId="94" fillId="34" borderId="0" xfId="0" applyFont="1" applyFill="1" applyAlignment="1">
      <alignment/>
    </xf>
    <xf numFmtId="0" fontId="94" fillId="0" borderId="0" xfId="0" applyFont="1" applyAlignment="1">
      <alignment/>
    </xf>
    <xf numFmtId="174" fontId="8" fillId="0" borderId="120" xfId="0" applyNumberFormat="1" applyFont="1" applyFill="1" applyBorder="1" applyAlignment="1">
      <alignment horizontal="center" vertical="center" wrapText="1"/>
    </xf>
    <xf numFmtId="172" fontId="8" fillId="0" borderId="85" xfId="0" applyNumberFormat="1" applyFont="1" applyFill="1" applyBorder="1" applyAlignment="1">
      <alignment horizontal="center" vertical="center" wrapText="1"/>
    </xf>
    <xf numFmtId="174" fontId="8" fillId="34" borderId="120" xfId="0" applyNumberFormat="1" applyFont="1" applyFill="1" applyBorder="1" applyAlignment="1">
      <alignment horizontal="center" vertical="center" wrapText="1"/>
    </xf>
    <xf numFmtId="172" fontId="8" fillId="34" borderId="85" xfId="0" applyNumberFormat="1" applyFont="1" applyFill="1" applyBorder="1" applyAlignment="1">
      <alignment horizontal="center" vertical="center" wrapText="1"/>
    </xf>
    <xf numFmtId="172" fontId="8" fillId="34" borderId="35" xfId="0" applyNumberFormat="1" applyFont="1" applyFill="1" applyBorder="1" applyAlignment="1">
      <alignment horizontal="center" vertical="center" wrapText="1"/>
    </xf>
    <xf numFmtId="174" fontId="8" fillId="0" borderId="123" xfId="0" applyNumberFormat="1" applyFont="1" applyFill="1" applyBorder="1" applyAlignment="1">
      <alignment horizontal="center" vertical="center" wrapText="1"/>
    </xf>
    <xf numFmtId="173" fontId="8" fillId="0" borderId="35" xfId="0" applyNumberFormat="1" applyFont="1" applyFill="1" applyBorder="1" applyAlignment="1">
      <alignment horizontal="center" vertical="center" wrapText="1"/>
    </xf>
    <xf numFmtId="173" fontId="8" fillId="34" borderId="35" xfId="0" applyNumberFormat="1" applyFont="1" applyFill="1" applyBorder="1" applyAlignment="1">
      <alignment horizontal="center" vertical="center" wrapText="1"/>
    </xf>
    <xf numFmtId="2" fontId="8" fillId="34" borderId="124" xfId="0" applyNumberFormat="1" applyFont="1" applyFill="1" applyBorder="1" applyAlignment="1">
      <alignment horizontal="center" vertical="center" wrapText="1"/>
    </xf>
    <xf numFmtId="2" fontId="8" fillId="34" borderId="29" xfId="0" applyNumberFormat="1" applyFont="1" applyFill="1" applyBorder="1" applyAlignment="1">
      <alignment horizontal="center" vertical="center" wrapText="1"/>
    </xf>
    <xf numFmtId="2" fontId="8" fillId="34" borderId="125" xfId="0" applyNumberFormat="1" applyFont="1" applyFill="1" applyBorder="1" applyAlignment="1">
      <alignment horizontal="center" vertical="center" wrapText="1"/>
    </xf>
    <xf numFmtId="172" fontId="8" fillId="0" borderId="35" xfId="0" applyNumberFormat="1" applyFont="1" applyFill="1" applyBorder="1" applyAlignment="1">
      <alignment horizontal="center" vertical="center" wrapText="1"/>
    </xf>
    <xf numFmtId="43" fontId="8" fillId="0" borderId="124" xfId="73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174" fontId="8" fillId="0" borderId="108" xfId="0" applyNumberFormat="1" applyFont="1" applyFill="1" applyBorder="1" applyAlignment="1">
      <alignment horizontal="center" vertical="center" wrapText="1"/>
    </xf>
    <xf numFmtId="43" fontId="8" fillId="0" borderId="118" xfId="73" applyFont="1" applyFill="1" applyBorder="1" applyAlignment="1">
      <alignment horizontal="center" vertical="center" wrapText="1"/>
    </xf>
    <xf numFmtId="174" fontId="8" fillId="34" borderId="108" xfId="0" applyNumberFormat="1" applyFont="1" applyFill="1" applyBorder="1" applyAlignment="1">
      <alignment horizontal="center" vertical="center" wrapText="1"/>
    </xf>
    <xf numFmtId="2" fontId="8" fillId="34" borderId="118" xfId="0" applyNumberFormat="1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2" fontId="8" fillId="34" borderId="30" xfId="0" applyNumberFormat="1" applyFont="1" applyFill="1" applyBorder="1" applyAlignment="1">
      <alignment horizontal="center" vertical="center" wrapText="1"/>
    </xf>
    <xf numFmtId="2" fontId="8" fillId="34" borderId="126" xfId="0" applyNumberFormat="1" applyFont="1" applyFill="1" applyBorder="1" applyAlignment="1">
      <alignment horizontal="center" vertical="center" wrapText="1"/>
    </xf>
    <xf numFmtId="0" fontId="47" fillId="34" borderId="127" xfId="0" applyFont="1" applyFill="1" applyBorder="1" applyAlignment="1">
      <alignment vertical="center" wrapText="1"/>
    </xf>
    <xf numFmtId="184" fontId="10" fillId="34" borderId="127" xfId="73" applyNumberFormat="1" applyFont="1" applyFill="1" applyBorder="1" applyAlignment="1">
      <alignment horizontal="center" vertical="center" wrapText="1"/>
    </xf>
    <xf numFmtId="3" fontId="10" fillId="34" borderId="127" xfId="0" applyNumberFormat="1" applyFont="1" applyFill="1" applyBorder="1" applyAlignment="1">
      <alignment horizontal="center" vertical="center" wrapText="1"/>
    </xf>
    <xf numFmtId="4" fontId="10" fillId="34" borderId="127" xfId="0" applyNumberFormat="1" applyFont="1" applyFill="1" applyBorder="1" applyAlignment="1">
      <alignment horizontal="center" vertical="center" wrapText="1"/>
    </xf>
    <xf numFmtId="172" fontId="10" fillId="34" borderId="127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horizontal="center"/>
    </xf>
    <xf numFmtId="0" fontId="27" fillId="0" borderId="0" xfId="0" applyFont="1" applyAlignment="1">
      <alignment horizontal="right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49" fontId="32" fillId="0" borderId="0" xfId="0" applyNumberFormat="1" applyFont="1" applyAlignment="1">
      <alignment horizontal="left"/>
    </xf>
    <xf numFmtId="4" fontId="27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4" fontId="32" fillId="0" borderId="3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7" fillId="0" borderId="35" xfId="0" applyNumberFormat="1" applyFont="1" applyBorder="1" applyAlignment="1">
      <alignment horizontal="center" vertical="center"/>
    </xf>
    <xf numFmtId="4" fontId="27" fillId="0" borderId="83" xfId="0" applyNumberFormat="1" applyFont="1" applyBorder="1" applyAlignment="1">
      <alignment horizontal="center" vertical="center"/>
    </xf>
    <xf numFmtId="4" fontId="0" fillId="0" borderId="85" xfId="0" applyNumberFormat="1" applyBorder="1" applyAlignment="1">
      <alignment vertical="center"/>
    </xf>
    <xf numFmtId="4" fontId="27" fillId="0" borderId="85" xfId="0" applyNumberFormat="1" applyFont="1" applyBorder="1" applyAlignment="1">
      <alignment horizontal="center" vertical="center"/>
    </xf>
    <xf numFmtId="2" fontId="27" fillId="0" borderId="86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2" fontId="27" fillId="0" borderId="85" xfId="0" applyNumberFormat="1" applyFont="1" applyBorder="1" applyAlignment="1">
      <alignment horizontal="center" vertical="center"/>
    </xf>
    <xf numFmtId="0" fontId="27" fillId="0" borderId="113" xfId="0" applyFont="1" applyBorder="1" applyAlignment="1">
      <alignment horizontal="center" vertical="center"/>
    </xf>
    <xf numFmtId="0" fontId="27" fillId="0" borderId="85" xfId="0" applyFont="1" applyBorder="1" applyAlignment="1">
      <alignment vertical="center"/>
    </xf>
    <xf numFmtId="2" fontId="27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4" fontId="0" fillId="0" borderId="35" xfId="0" applyNumberFormat="1" applyBorder="1" applyAlignment="1">
      <alignment vertical="center"/>
    </xf>
    <xf numFmtId="0" fontId="27" fillId="0" borderId="35" xfId="0" applyFont="1" applyBorder="1" applyAlignment="1">
      <alignment vertical="center"/>
    </xf>
    <xf numFmtId="4" fontId="27" fillId="0" borderId="35" xfId="0" applyNumberFormat="1" applyFont="1" applyFill="1" applyBorder="1" applyAlignment="1">
      <alignment horizontal="center" vertical="center"/>
    </xf>
    <xf numFmtId="3" fontId="27" fillId="0" borderId="35" xfId="0" applyNumberFormat="1" applyFont="1" applyFill="1" applyBorder="1" applyAlignment="1">
      <alignment horizontal="center" vertical="center"/>
    </xf>
    <xf numFmtId="4" fontId="27" fillId="0" borderId="35" xfId="0" applyNumberFormat="1" applyFont="1" applyBorder="1" applyAlignment="1">
      <alignment vertical="center"/>
    </xf>
    <xf numFmtId="2" fontId="93" fillId="34" borderId="35" xfId="0" applyNumberFormat="1" applyFont="1" applyFill="1" applyBorder="1" applyAlignment="1">
      <alignment horizontal="center" vertical="center"/>
    </xf>
    <xf numFmtId="2" fontId="93" fillId="0" borderId="3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/>
    </xf>
    <xf numFmtId="0" fontId="27" fillId="35" borderId="0" xfId="55" applyFont="1" applyFill="1">
      <alignment/>
      <protection/>
    </xf>
    <xf numFmtId="0" fontId="0" fillId="35" borderId="0" xfId="0" applyFill="1" applyAlignment="1">
      <alignment/>
    </xf>
    <xf numFmtId="0" fontId="51" fillId="0" borderId="0" xfId="0" applyFont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0" fillId="34" borderId="0" xfId="0" applyNumberFormat="1" applyFill="1" applyAlignment="1">
      <alignment/>
    </xf>
    <xf numFmtId="4" fontId="1" fillId="34" borderId="62" xfId="0" applyNumberFormat="1" applyFont="1" applyFill="1" applyBorder="1" applyAlignment="1" applyProtection="1">
      <alignment wrapText="1"/>
      <protection locked="0"/>
    </xf>
    <xf numFmtId="4" fontId="1" fillId="34" borderId="54" xfId="0" applyNumberFormat="1" applyFont="1" applyFill="1" applyBorder="1" applyAlignment="1">
      <alignment wrapText="1"/>
    </xf>
    <xf numFmtId="3" fontId="27" fillId="34" borderId="35" xfId="55" applyNumberFormat="1" applyFont="1" applyFill="1" applyBorder="1" applyAlignment="1">
      <alignment horizontal="center" wrapText="1"/>
      <protection/>
    </xf>
    <xf numFmtId="2" fontId="8" fillId="34" borderId="123" xfId="0" applyNumberFormat="1" applyFont="1" applyFill="1" applyBorder="1" applyAlignment="1">
      <alignment horizontal="center"/>
    </xf>
    <xf numFmtId="2" fontId="8" fillId="0" borderId="83" xfId="0" applyNumberFormat="1" applyFont="1" applyFill="1" applyBorder="1" applyAlignment="1">
      <alignment horizontal="center" vertical="center" wrapText="1"/>
    </xf>
    <xf numFmtId="2" fontId="8" fillId="0" borderId="83" xfId="0" applyNumberFormat="1" applyFont="1" applyFill="1" applyBorder="1" applyAlignment="1">
      <alignment horizontal="center"/>
    </xf>
    <xf numFmtId="0" fontId="8" fillId="0" borderId="116" xfId="0" applyFont="1" applyFill="1" applyBorder="1" applyAlignment="1">
      <alignment horizontal="center" vertical="center" wrapText="1"/>
    </xf>
    <xf numFmtId="2" fontId="8" fillId="34" borderId="108" xfId="0" applyNumberFormat="1" applyFont="1" applyFill="1" applyBorder="1" applyAlignment="1">
      <alignment horizontal="center" vertical="center" wrapText="1"/>
    </xf>
    <xf numFmtId="43" fontId="8" fillId="34" borderId="124" xfId="75" applyFont="1" applyFill="1" applyBorder="1" applyAlignment="1">
      <alignment horizontal="center" vertical="center" wrapText="1"/>
    </xf>
    <xf numFmtId="43" fontId="8" fillId="34" borderId="118" xfId="75" applyFont="1" applyFill="1" applyBorder="1" applyAlignment="1">
      <alignment horizontal="center" vertical="center" wrapText="1"/>
    </xf>
    <xf numFmtId="172" fontId="8" fillId="39" borderId="35" xfId="0" applyNumberFormat="1" applyFont="1" applyFill="1" applyBorder="1" applyAlignment="1">
      <alignment horizontal="center" vertical="center" wrapText="1"/>
    </xf>
    <xf numFmtId="43" fontId="8" fillId="34" borderId="29" xfId="75" applyFont="1" applyFill="1" applyBorder="1" applyAlignment="1">
      <alignment horizontal="center" vertical="center" wrapText="1"/>
    </xf>
    <xf numFmtId="43" fontId="8" fillId="34" borderId="30" xfId="75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39" xfId="0" applyFont="1" applyFill="1" applyBorder="1" applyAlignment="1">
      <alignment horizontal="center" vertical="center" wrapText="1"/>
    </xf>
    <xf numFmtId="0" fontId="45" fillId="34" borderId="117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56" xfId="0" applyFont="1" applyFill="1" applyBorder="1" applyAlignment="1">
      <alignment horizontal="center" vertical="center" wrapText="1"/>
    </xf>
    <xf numFmtId="182" fontId="10" fillId="34" borderId="128" xfId="0" applyNumberFormat="1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left" vertical="center" wrapText="1"/>
    </xf>
    <xf numFmtId="0" fontId="8" fillId="34" borderId="125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vertical="center" wrapText="1"/>
    </xf>
    <xf numFmtId="0" fontId="8" fillId="34" borderId="56" xfId="0" applyFont="1" applyFill="1" applyBorder="1" applyAlignment="1">
      <alignment vertical="center" wrapText="1"/>
    </xf>
    <xf numFmtId="0" fontId="47" fillId="34" borderId="56" xfId="0" applyFont="1" applyFill="1" applyBorder="1" applyAlignment="1">
      <alignment vertical="center" wrapText="1"/>
    </xf>
    <xf numFmtId="0" fontId="8" fillId="34" borderId="126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1" fillId="0" borderId="119" xfId="0" applyFont="1" applyFill="1" applyBorder="1" applyAlignment="1">
      <alignment horizontal="center" vertical="center" wrapText="1"/>
    </xf>
    <xf numFmtId="0" fontId="1" fillId="0" borderId="117" xfId="0" applyFont="1" applyFill="1" applyBorder="1" applyAlignment="1">
      <alignment horizontal="center" vertical="center" wrapText="1"/>
    </xf>
    <xf numFmtId="0" fontId="1" fillId="0" borderId="1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4" fontId="1" fillId="0" borderId="135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0" fontId="1" fillId="0" borderId="50" xfId="0" applyNumberFormat="1" applyFont="1" applyFill="1" applyBorder="1" applyAlignment="1">
      <alignment horizontal="center" vertical="center" wrapText="1"/>
    </xf>
    <xf numFmtId="0" fontId="1" fillId="0" borderId="5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20" fillId="36" borderId="136" xfId="0" applyFont="1" applyFill="1" applyBorder="1" applyAlignment="1">
      <alignment horizontal="left" vertical="top" wrapText="1"/>
    </xf>
    <xf numFmtId="0" fontId="20" fillId="36" borderId="137" xfId="0" applyFont="1" applyFill="1" applyBorder="1" applyAlignment="1">
      <alignment horizontal="left" vertical="top" wrapText="1"/>
    </xf>
    <xf numFmtId="0" fontId="20" fillId="37" borderId="24" xfId="0" applyNumberFormat="1" applyFont="1" applyFill="1" applyBorder="1" applyAlignment="1">
      <alignment horizontal="left" vertical="center" wrapText="1"/>
    </xf>
    <xf numFmtId="0" fontId="20" fillId="37" borderId="82" xfId="0" applyNumberFormat="1" applyFont="1" applyFill="1" applyBorder="1" applyAlignment="1">
      <alignment horizontal="left" vertical="center" wrapText="1"/>
    </xf>
    <xf numFmtId="0" fontId="20" fillId="36" borderId="138" xfId="0" applyFont="1" applyFill="1" applyBorder="1" applyAlignment="1">
      <alignment horizontal="left" vertical="top" wrapText="1"/>
    </xf>
    <xf numFmtId="0" fontId="20" fillId="36" borderId="139" xfId="0" applyFont="1" applyFill="1" applyBorder="1" applyAlignment="1">
      <alignment horizontal="left" vertical="top" wrapText="1"/>
    </xf>
    <xf numFmtId="0" fontId="20" fillId="37" borderId="84" xfId="0" applyNumberFormat="1" applyFont="1" applyFill="1" applyBorder="1" applyAlignment="1">
      <alignment horizontal="left" vertical="center" wrapText="1"/>
    </xf>
    <xf numFmtId="0" fontId="20" fillId="37" borderId="43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wrapText="1"/>
    </xf>
    <xf numFmtId="0" fontId="20" fillId="36" borderId="140" xfId="0" applyFont="1" applyFill="1" applyBorder="1" applyAlignment="1">
      <alignment horizontal="left" vertical="top" wrapText="1"/>
    </xf>
    <xf numFmtId="0" fontId="20" fillId="37" borderId="141" xfId="0" applyNumberFormat="1" applyFont="1" applyFill="1" applyBorder="1" applyAlignment="1">
      <alignment horizontal="left" vertical="center" wrapText="1"/>
    </xf>
    <xf numFmtId="0" fontId="20" fillId="37" borderId="142" xfId="0" applyNumberFormat="1" applyFont="1" applyFill="1" applyBorder="1" applyAlignment="1">
      <alignment horizontal="left" vertical="center" wrapText="1"/>
    </xf>
    <xf numFmtId="0" fontId="3" fillId="35" borderId="138" xfId="0" applyFont="1" applyFill="1" applyBorder="1" applyAlignment="1">
      <alignment horizontal="left"/>
    </xf>
    <xf numFmtId="0" fontId="3" fillId="35" borderId="139" xfId="0" applyFont="1" applyFill="1" applyBorder="1" applyAlignment="1">
      <alignment horizontal="left"/>
    </xf>
    <xf numFmtId="0" fontId="20" fillId="36" borderId="37" xfId="0" applyFont="1" applyFill="1" applyBorder="1" applyAlignment="1">
      <alignment horizontal="left" vertical="top" wrapText="1"/>
    </xf>
    <xf numFmtId="0" fontId="20" fillId="36" borderId="112" xfId="0" applyFont="1" applyFill="1" applyBorder="1" applyAlignment="1">
      <alignment horizontal="left" vertical="top" wrapText="1"/>
    </xf>
    <xf numFmtId="0" fontId="3" fillId="35" borderId="99" xfId="0" applyFont="1" applyFill="1" applyBorder="1" applyAlignment="1">
      <alignment horizontal="left"/>
    </xf>
    <xf numFmtId="0" fontId="3" fillId="35" borderId="143" xfId="0" applyFont="1" applyFill="1" applyBorder="1" applyAlignment="1">
      <alignment horizontal="left"/>
    </xf>
    <xf numFmtId="0" fontId="20" fillId="36" borderId="144" xfId="0" applyFont="1" applyFill="1" applyBorder="1" applyAlignment="1">
      <alignment horizontal="left" vertical="top" wrapText="1"/>
    </xf>
    <xf numFmtId="0" fontId="27" fillId="0" borderId="0" xfId="0" applyFont="1" applyAlignment="1">
      <alignment horizontal="right"/>
    </xf>
    <xf numFmtId="4" fontId="32" fillId="0" borderId="15" xfId="0" applyNumberFormat="1" applyFont="1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2" fontId="43" fillId="0" borderId="138" xfId="0" applyNumberFormat="1" applyFont="1" applyFill="1" applyBorder="1" applyAlignment="1">
      <alignment horizontal="center" vertical="center" wrapText="1"/>
    </xf>
    <xf numFmtId="2" fontId="43" fillId="0" borderId="144" xfId="0" applyNumberFormat="1" applyFont="1" applyFill="1" applyBorder="1" applyAlignment="1">
      <alignment horizontal="center" vertical="center" wrapText="1"/>
    </xf>
    <xf numFmtId="2" fontId="43" fillId="0" borderId="137" xfId="0" applyNumberFormat="1" applyFont="1" applyFill="1" applyBorder="1" applyAlignment="1">
      <alignment horizontal="center" vertical="center" wrapText="1"/>
    </xf>
    <xf numFmtId="2" fontId="43" fillId="0" borderId="60" xfId="0" applyNumberFormat="1" applyFont="1" applyFill="1" applyBorder="1" applyAlignment="1">
      <alignment horizontal="center" vertical="center" wrapText="1"/>
    </xf>
    <xf numFmtId="0" fontId="43" fillId="0" borderId="145" xfId="0" applyFont="1" applyFill="1" applyBorder="1" applyAlignment="1">
      <alignment horizontal="center" vertical="center" wrapText="1"/>
    </xf>
    <xf numFmtId="0" fontId="43" fillId="0" borderId="146" xfId="0" applyFont="1" applyFill="1" applyBorder="1" applyAlignment="1">
      <alignment horizontal="center" vertical="center" wrapText="1"/>
    </xf>
    <xf numFmtId="4" fontId="45" fillId="0" borderId="141" xfId="0" applyNumberFormat="1" applyFont="1" applyFill="1" applyBorder="1" applyAlignment="1">
      <alignment horizontal="center" vertical="center" wrapText="1"/>
    </xf>
    <xf numFmtId="4" fontId="45" fillId="0" borderId="142" xfId="0" applyNumberFormat="1" applyFont="1" applyFill="1" applyBorder="1" applyAlignment="1">
      <alignment horizontal="center" vertical="center" wrapText="1"/>
    </xf>
    <xf numFmtId="4" fontId="45" fillId="0" borderId="147" xfId="0" applyNumberFormat="1" applyFont="1" applyFill="1" applyBorder="1" applyAlignment="1">
      <alignment horizontal="center" vertical="center" wrapText="1"/>
    </xf>
    <xf numFmtId="2" fontId="95" fillId="0" borderId="138" xfId="0" applyNumberFormat="1" applyFont="1" applyFill="1" applyBorder="1" applyAlignment="1">
      <alignment horizontal="center" vertical="center" wrapText="1"/>
    </xf>
    <xf numFmtId="2" fontId="95" fillId="0" borderId="144" xfId="0" applyNumberFormat="1" applyFont="1" applyFill="1" applyBorder="1" applyAlignment="1">
      <alignment horizontal="center" vertical="center" wrapText="1"/>
    </xf>
    <xf numFmtId="2" fontId="95" fillId="0" borderId="60" xfId="0" applyNumberFormat="1" applyFont="1" applyFill="1" applyBorder="1" applyAlignment="1">
      <alignment horizontal="center" vertical="center" wrapText="1"/>
    </xf>
    <xf numFmtId="0" fontId="95" fillId="34" borderId="138" xfId="0" applyFont="1" applyFill="1" applyBorder="1" applyAlignment="1">
      <alignment horizontal="center" vertical="center" wrapText="1"/>
    </xf>
    <xf numFmtId="0" fontId="95" fillId="34" borderId="144" xfId="0" applyFont="1" applyFill="1" applyBorder="1" applyAlignment="1">
      <alignment horizontal="center" vertical="center" wrapText="1"/>
    </xf>
    <xf numFmtId="0" fontId="95" fillId="34" borderId="60" xfId="0" applyFont="1" applyFill="1" applyBorder="1" applyAlignment="1">
      <alignment horizontal="center" vertical="center" wrapText="1"/>
    </xf>
    <xf numFmtId="2" fontId="95" fillId="34" borderId="138" xfId="0" applyNumberFormat="1" applyFont="1" applyFill="1" applyBorder="1" applyAlignment="1">
      <alignment horizontal="center" vertical="center" wrapText="1"/>
    </xf>
    <xf numFmtId="2" fontId="95" fillId="34" borderId="144" xfId="0" applyNumberFormat="1" applyFont="1" applyFill="1" applyBorder="1" applyAlignment="1">
      <alignment horizontal="center" vertical="center" wrapText="1"/>
    </xf>
    <xf numFmtId="2" fontId="95" fillId="34" borderId="60" xfId="0" applyNumberFormat="1" applyFont="1" applyFill="1" applyBorder="1" applyAlignment="1">
      <alignment horizontal="center" vertical="center" wrapText="1"/>
    </xf>
    <xf numFmtId="0" fontId="43" fillId="0" borderId="122" xfId="0" applyFont="1" applyFill="1" applyBorder="1" applyAlignment="1">
      <alignment horizontal="center" vertical="center" wrapText="1"/>
    </xf>
    <xf numFmtId="0" fontId="43" fillId="34" borderId="136" xfId="0" applyFont="1" applyFill="1" applyBorder="1" applyAlignment="1">
      <alignment horizontal="center" vertical="center" wrapText="1"/>
    </xf>
    <xf numFmtId="0" fontId="43" fillId="34" borderId="137" xfId="0" applyFont="1" applyFill="1" applyBorder="1" applyAlignment="1">
      <alignment horizontal="center" vertical="center" wrapText="1"/>
    </xf>
    <xf numFmtId="0" fontId="43" fillId="34" borderId="80" xfId="0" applyFont="1" applyFill="1" applyBorder="1" applyAlignment="1">
      <alignment horizontal="center" vertical="center" wrapText="1"/>
    </xf>
    <xf numFmtId="0" fontId="43" fillId="34" borderId="99" xfId="0" applyFont="1" applyFill="1" applyBorder="1" applyAlignment="1">
      <alignment horizontal="center" vertical="center" wrapText="1"/>
    </xf>
    <xf numFmtId="0" fontId="43" fillId="34" borderId="148" xfId="0" applyFont="1" applyFill="1" applyBorder="1" applyAlignment="1">
      <alignment horizontal="center" vertical="center" wrapText="1"/>
    </xf>
    <xf numFmtId="0" fontId="43" fillId="34" borderId="93" xfId="0" applyFont="1" applyFill="1" applyBorder="1" applyAlignment="1">
      <alignment horizontal="center" vertical="center" wrapText="1"/>
    </xf>
    <xf numFmtId="0" fontId="43" fillId="0" borderId="138" xfId="0" applyFont="1" applyFill="1" applyBorder="1" applyAlignment="1">
      <alignment horizontal="center" vertical="center" wrapText="1"/>
    </xf>
    <xf numFmtId="0" fontId="43" fillId="0" borderId="144" xfId="0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center" vertical="center" wrapText="1"/>
    </xf>
    <xf numFmtId="0" fontId="44" fillId="0" borderId="145" xfId="0" applyFont="1" applyFill="1" applyBorder="1" applyAlignment="1">
      <alignment horizontal="center" vertical="center" wrapText="1"/>
    </xf>
    <xf numFmtId="0" fontId="44" fillId="0" borderId="146" xfId="0" applyFont="1" applyFill="1" applyBorder="1" applyAlignment="1">
      <alignment horizontal="center" vertical="center" wrapText="1"/>
    </xf>
    <xf numFmtId="0" fontId="95" fillId="0" borderId="138" xfId="0" applyFont="1" applyFill="1" applyBorder="1" applyAlignment="1">
      <alignment horizontal="center" vertical="center" wrapText="1"/>
    </xf>
    <xf numFmtId="0" fontId="95" fillId="0" borderId="144" xfId="0" applyFont="1" applyFill="1" applyBorder="1" applyAlignment="1">
      <alignment horizontal="center" vertical="center" wrapText="1"/>
    </xf>
    <xf numFmtId="0" fontId="95" fillId="0" borderId="60" xfId="0" applyFont="1" applyFill="1" applyBorder="1" applyAlignment="1">
      <alignment horizontal="center" vertical="center" wrapText="1"/>
    </xf>
    <xf numFmtId="0" fontId="42" fillId="0" borderId="138" xfId="0" applyFont="1" applyFill="1" applyBorder="1" applyAlignment="1">
      <alignment horizontal="center"/>
    </xf>
    <xf numFmtId="0" fontId="42" fillId="0" borderId="144" xfId="0" applyFont="1" applyFill="1" applyBorder="1" applyAlignment="1">
      <alignment horizontal="center"/>
    </xf>
    <xf numFmtId="0" fontId="42" fillId="0" borderId="60" xfId="0" applyFont="1" applyFill="1" applyBorder="1" applyAlignment="1">
      <alignment horizontal="center"/>
    </xf>
    <xf numFmtId="0" fontId="8" fillId="0" borderId="145" xfId="0" applyFont="1" applyFill="1" applyBorder="1" applyAlignment="1">
      <alignment horizontal="center" vertical="center" wrapText="1"/>
    </xf>
    <xf numFmtId="0" fontId="8" fillId="0" borderId="146" xfId="0" applyFont="1" applyFill="1" applyBorder="1" applyAlignment="1">
      <alignment horizontal="center" vertical="center" wrapText="1"/>
    </xf>
    <xf numFmtId="0" fontId="0" fillId="0" borderId="148" xfId="0" applyBorder="1" applyAlignment="1">
      <alignment horizontal="center"/>
    </xf>
    <xf numFmtId="0" fontId="44" fillId="0" borderId="122" xfId="0" applyFont="1" applyFill="1" applyBorder="1" applyAlignment="1">
      <alignment horizontal="center" vertical="center" wrapText="1"/>
    </xf>
    <xf numFmtId="0" fontId="8" fillId="0" borderId="122" xfId="0" applyFont="1" applyFill="1" applyBorder="1" applyAlignment="1">
      <alignment horizontal="center" vertical="center" wrapText="1"/>
    </xf>
    <xf numFmtId="2" fontId="43" fillId="34" borderId="138" xfId="0" applyNumberFormat="1" applyFont="1" applyFill="1" applyBorder="1" applyAlignment="1">
      <alignment horizontal="center" vertical="center" wrapText="1"/>
    </xf>
    <xf numFmtId="2" fontId="43" fillId="34" borderId="144" xfId="0" applyNumberFormat="1" applyFont="1" applyFill="1" applyBorder="1" applyAlignment="1">
      <alignment horizontal="center" vertical="center" wrapText="1"/>
    </xf>
    <xf numFmtId="2" fontId="43" fillId="34" borderId="60" xfId="0" applyNumberFormat="1" applyFont="1" applyFill="1" applyBorder="1" applyAlignment="1">
      <alignment horizontal="center" vertical="center" wrapText="1"/>
    </xf>
    <xf numFmtId="0" fontId="43" fillId="34" borderId="145" xfId="0" applyFont="1" applyFill="1" applyBorder="1" applyAlignment="1">
      <alignment horizontal="center" vertical="center" wrapText="1"/>
    </xf>
    <xf numFmtId="0" fontId="43" fillId="34" borderId="146" xfId="0" applyFont="1" applyFill="1" applyBorder="1" applyAlignment="1">
      <alignment horizontal="center" vertical="center" wrapText="1"/>
    </xf>
    <xf numFmtId="0" fontId="43" fillId="0" borderId="136" xfId="0" applyFont="1" applyFill="1" applyBorder="1" applyAlignment="1">
      <alignment horizontal="center" vertical="center" wrapText="1"/>
    </xf>
    <xf numFmtId="0" fontId="43" fillId="0" borderId="137" xfId="0" applyFont="1" applyFill="1" applyBorder="1" applyAlignment="1">
      <alignment horizontal="center" vertical="center" wrapText="1"/>
    </xf>
    <xf numFmtId="0" fontId="43" fillId="0" borderId="80" xfId="0" applyFont="1" applyFill="1" applyBorder="1" applyAlignment="1">
      <alignment horizontal="center" vertical="center" wrapText="1"/>
    </xf>
    <xf numFmtId="0" fontId="43" fillId="0" borderId="99" xfId="0" applyFont="1" applyFill="1" applyBorder="1" applyAlignment="1">
      <alignment horizontal="center" vertical="center" wrapText="1"/>
    </xf>
    <xf numFmtId="0" fontId="43" fillId="0" borderId="148" xfId="0" applyFont="1" applyFill="1" applyBorder="1" applyAlignment="1">
      <alignment horizontal="center" vertical="center" wrapText="1"/>
    </xf>
    <xf numFmtId="0" fontId="43" fillId="0" borderId="93" xfId="0" applyFont="1" applyFill="1" applyBorder="1" applyAlignment="1">
      <alignment horizontal="center" vertical="center" wrapText="1"/>
    </xf>
    <xf numFmtId="0" fontId="43" fillId="34" borderId="138" xfId="0" applyFont="1" applyFill="1" applyBorder="1" applyAlignment="1">
      <alignment horizontal="center" vertical="center" wrapText="1"/>
    </xf>
    <xf numFmtId="0" fontId="43" fillId="34" borderId="144" xfId="0" applyFont="1" applyFill="1" applyBorder="1" applyAlignment="1">
      <alignment horizontal="center" vertical="center" wrapText="1"/>
    </xf>
    <xf numFmtId="0" fontId="44" fillId="34" borderId="145" xfId="0" applyFont="1" applyFill="1" applyBorder="1" applyAlignment="1">
      <alignment horizontal="center" vertical="center" wrapText="1"/>
    </xf>
    <xf numFmtId="0" fontId="44" fillId="34" borderId="146" xfId="0" applyFont="1" applyFill="1" applyBorder="1" applyAlignment="1">
      <alignment horizontal="center" vertical="center" wrapText="1"/>
    </xf>
    <xf numFmtId="2" fontId="95" fillId="34" borderId="141" xfId="0" applyNumberFormat="1" applyFont="1" applyFill="1" applyBorder="1" applyAlignment="1">
      <alignment horizontal="center" vertical="center" wrapText="1"/>
    </xf>
    <xf numFmtId="2" fontId="95" fillId="34" borderId="142" xfId="0" applyNumberFormat="1" applyFont="1" applyFill="1" applyBorder="1" applyAlignment="1">
      <alignment horizontal="center" vertical="center" wrapText="1"/>
    </xf>
    <xf numFmtId="2" fontId="95" fillId="34" borderId="147" xfId="0" applyNumberFormat="1" applyFont="1" applyFill="1" applyBorder="1" applyAlignment="1">
      <alignment horizontal="center" vertical="center" wrapText="1"/>
    </xf>
    <xf numFmtId="0" fontId="95" fillId="34" borderId="141" xfId="0" applyFont="1" applyFill="1" applyBorder="1" applyAlignment="1">
      <alignment horizontal="center" vertical="center" wrapText="1"/>
    </xf>
    <xf numFmtId="0" fontId="95" fillId="34" borderId="142" xfId="0" applyFont="1" applyFill="1" applyBorder="1" applyAlignment="1">
      <alignment horizontal="center" vertical="center" wrapText="1"/>
    </xf>
    <xf numFmtId="0" fontId="95" fillId="34" borderId="14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left" wrapText="1"/>
    </xf>
    <xf numFmtId="0" fontId="27" fillId="0" borderId="44" xfId="0" applyFont="1" applyBorder="1" applyAlignment="1">
      <alignment horizontal="left" wrapText="1"/>
    </xf>
    <xf numFmtId="0" fontId="27" fillId="0" borderId="116" xfId="0" applyFont="1" applyBorder="1" applyAlignment="1">
      <alignment horizontal="left" wrapText="1"/>
    </xf>
    <xf numFmtId="0" fontId="28" fillId="0" borderId="15" xfId="0" applyFont="1" applyBorder="1" applyAlignment="1">
      <alignment horizontal="right" wrapText="1"/>
    </xf>
    <xf numFmtId="0" fontId="28" fillId="0" borderId="82" xfId="0" applyFont="1" applyBorder="1" applyAlignment="1">
      <alignment horizontal="right" wrapText="1"/>
    </xf>
    <xf numFmtId="0" fontId="28" fillId="0" borderId="83" xfId="0" applyFont="1" applyBorder="1" applyAlignment="1">
      <alignment horizontal="right" wrapText="1"/>
    </xf>
    <xf numFmtId="0" fontId="27" fillId="0" borderId="0" xfId="0" applyFont="1" applyAlignment="1">
      <alignment horizontal="left" wrapText="1"/>
    </xf>
    <xf numFmtId="0" fontId="27" fillId="0" borderId="0" xfId="63" applyFont="1" applyBorder="1" applyAlignment="1">
      <alignment horizontal="center" wrapText="1"/>
      <protection/>
    </xf>
    <xf numFmtId="0" fontId="28" fillId="0" borderId="0" xfId="63" applyFont="1" applyAlignment="1">
      <alignment horizontal="center" wrapText="1"/>
      <protection/>
    </xf>
    <xf numFmtId="0" fontId="28" fillId="0" borderId="0" xfId="63" applyFont="1" applyAlignment="1">
      <alignment horizontal="center"/>
      <protection/>
    </xf>
    <xf numFmtId="0" fontId="27" fillId="0" borderId="0" xfId="63" applyFont="1" applyAlignment="1">
      <alignment horizontal="center" wrapText="1"/>
      <protection/>
    </xf>
    <xf numFmtId="0" fontId="28" fillId="0" borderId="0" xfId="63" applyFont="1" applyBorder="1" applyAlignment="1">
      <alignment horizontal="center" wrapText="1"/>
      <protection/>
    </xf>
    <xf numFmtId="0" fontId="29" fillId="0" borderId="0" xfId="63" applyFont="1" applyBorder="1" applyAlignment="1">
      <alignment horizontal="center" wrapText="1"/>
      <protection/>
    </xf>
    <xf numFmtId="0" fontId="28" fillId="0" borderId="50" xfId="63" applyFont="1" applyBorder="1" applyAlignment="1">
      <alignment horizontal="center" vertical="center" wrapText="1"/>
      <protection/>
    </xf>
    <xf numFmtId="0" fontId="28" fillId="0" borderId="85" xfId="63" applyFont="1" applyBorder="1" applyAlignment="1">
      <alignment horizontal="center" vertical="center" wrapText="1"/>
      <protection/>
    </xf>
    <xf numFmtId="0" fontId="28" fillId="0" borderId="50" xfId="63" applyFont="1" applyBorder="1" applyAlignment="1">
      <alignment horizontal="center" vertical="center"/>
      <protection/>
    </xf>
    <xf numFmtId="0" fontId="28" fillId="0" borderId="85" xfId="63" applyFont="1" applyBorder="1" applyAlignment="1">
      <alignment horizontal="center" vertical="center"/>
      <protection/>
    </xf>
    <xf numFmtId="0" fontId="28" fillId="0" borderId="15" xfId="63" applyFont="1" applyBorder="1" applyAlignment="1">
      <alignment horizontal="center" vertical="center" wrapText="1"/>
      <protection/>
    </xf>
    <xf numFmtId="0" fontId="28" fillId="0" borderId="83" xfId="63" applyFont="1" applyBorder="1" applyAlignment="1">
      <alignment horizontal="center" vertical="center" wrapText="1"/>
      <protection/>
    </xf>
    <xf numFmtId="0" fontId="28" fillId="0" borderId="82" xfId="63" applyFont="1" applyBorder="1" applyAlignment="1">
      <alignment horizontal="center" vertical="center" wrapText="1"/>
      <protection/>
    </xf>
    <xf numFmtId="0" fontId="28" fillId="0" borderId="15" xfId="63" applyFont="1" applyBorder="1" applyAlignment="1">
      <alignment horizontal="right"/>
      <protection/>
    </xf>
    <xf numFmtId="0" fontId="28" fillId="0" borderId="82" xfId="63" applyFont="1" applyBorder="1" applyAlignment="1">
      <alignment horizontal="right"/>
      <protection/>
    </xf>
    <xf numFmtId="0" fontId="28" fillId="0" borderId="83" xfId="63" applyFont="1" applyBorder="1" applyAlignment="1">
      <alignment horizontal="right"/>
      <protection/>
    </xf>
    <xf numFmtId="0" fontId="28" fillId="0" borderId="56" xfId="63" applyFont="1" applyBorder="1" applyAlignment="1">
      <alignment horizontal="center" vertical="center"/>
      <protection/>
    </xf>
    <xf numFmtId="0" fontId="28" fillId="0" borderId="86" xfId="63" applyFont="1" applyBorder="1" applyAlignment="1">
      <alignment horizontal="center" vertical="center"/>
      <protection/>
    </xf>
    <xf numFmtId="0" fontId="28" fillId="0" borderId="35" xfId="63" applyFont="1" applyBorder="1" applyAlignment="1">
      <alignment horizontal="center" vertical="center" wrapText="1"/>
      <protection/>
    </xf>
    <xf numFmtId="0" fontId="28" fillId="0" borderId="35" xfId="63" applyFont="1" applyBorder="1" applyAlignment="1">
      <alignment horizontal="center" vertical="center"/>
      <protection/>
    </xf>
    <xf numFmtId="0" fontId="27" fillId="0" borderId="0" xfId="64" applyFont="1" applyAlignment="1">
      <alignment wrapText="1"/>
      <protection/>
    </xf>
    <xf numFmtId="0" fontId="27" fillId="0" borderId="0" xfId="55" applyFont="1" applyAlignment="1">
      <alignment horizontal="left" vertical="top" wrapText="1"/>
      <protection/>
    </xf>
    <xf numFmtId="0" fontId="29" fillId="0" borderId="0" xfId="63" applyFont="1" applyAlignment="1">
      <alignment horizontal="center" wrapText="1"/>
      <protection/>
    </xf>
    <xf numFmtId="0" fontId="29" fillId="0" borderId="0" xfId="63" applyFont="1" applyAlignment="1">
      <alignment horizontal="center"/>
      <protection/>
    </xf>
    <xf numFmtId="0" fontId="28" fillId="0" borderId="86" xfId="63" applyFont="1" applyBorder="1" applyAlignment="1">
      <alignment horizontal="right"/>
      <protection/>
    </xf>
    <xf numFmtId="0" fontId="28" fillId="0" borderId="43" xfId="63" applyFont="1" applyBorder="1" applyAlignment="1">
      <alignment horizontal="right"/>
      <protection/>
    </xf>
    <xf numFmtId="0" fontId="28" fillId="0" borderId="113" xfId="63" applyFont="1" applyBorder="1" applyAlignment="1">
      <alignment horizontal="right"/>
      <protection/>
    </xf>
    <xf numFmtId="0" fontId="27" fillId="0" borderId="0" xfId="0" applyFont="1" applyAlignment="1">
      <alignment wrapText="1"/>
    </xf>
    <xf numFmtId="0" fontId="0" fillId="0" borderId="0" xfId="0" applyAlignment="1">
      <alignment/>
    </xf>
    <xf numFmtId="0" fontId="33" fillId="0" borderId="0" xfId="0" applyFont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28" fillId="0" borderId="0" xfId="0" applyFont="1" applyAlignment="1">
      <alignment horizontal="center" wrapText="1"/>
    </xf>
    <xf numFmtId="0" fontId="20" fillId="0" borderId="35" xfId="0" applyFont="1" applyBorder="1" applyAlignment="1">
      <alignment horizontal="center" vertical="center" wrapText="1"/>
    </xf>
    <xf numFmtId="4" fontId="20" fillId="0" borderId="35" xfId="62" applyNumberFormat="1" applyFont="1" applyFill="1" applyBorder="1" applyAlignment="1">
      <alignment horizontal="center" vertical="center" wrapText="1"/>
      <protection/>
    </xf>
    <xf numFmtId="0" fontId="19" fillId="34" borderId="85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  <xf numFmtId="0" fontId="19" fillId="34" borderId="85" xfId="0" applyFont="1" applyFill="1" applyBorder="1" applyAlignment="1">
      <alignment horizontal="left" vertical="center" wrapText="1"/>
    </xf>
    <xf numFmtId="0" fontId="19" fillId="34" borderId="35" xfId="0" applyFont="1" applyFill="1" applyBorder="1" applyAlignment="1">
      <alignment horizontal="left" vertical="center" wrapText="1"/>
    </xf>
    <xf numFmtId="4" fontId="20" fillId="34" borderId="85" xfId="0" applyNumberFormat="1" applyFont="1" applyFill="1" applyBorder="1" applyAlignment="1">
      <alignment horizontal="center" vertical="center" wrapText="1"/>
    </xf>
    <xf numFmtId="4" fontId="20" fillId="34" borderId="35" xfId="0" applyNumberFormat="1" applyFont="1" applyFill="1" applyBorder="1" applyAlignment="1">
      <alignment horizontal="center" vertical="center" wrapText="1"/>
    </xf>
    <xf numFmtId="4" fontId="20" fillId="0" borderId="35" xfId="0" applyNumberFormat="1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horizontal="right"/>
    </xf>
    <xf numFmtId="0" fontId="27" fillId="0" borderId="0" xfId="55" applyFont="1" applyAlignment="1">
      <alignment horizontal="center" wrapText="1"/>
      <protection/>
    </xf>
    <xf numFmtId="0" fontId="32" fillId="0" borderId="0" xfId="55" applyFont="1" applyAlignment="1">
      <alignment horizontal="center" wrapText="1"/>
      <protection/>
    </xf>
    <xf numFmtId="0" fontId="32" fillId="0" borderId="0" xfId="55" applyFont="1" applyFill="1" applyAlignment="1">
      <alignment horizontal="center" wrapText="1"/>
      <protection/>
    </xf>
    <xf numFmtId="0" fontId="27" fillId="0" borderId="35" xfId="55" applyFont="1" applyBorder="1" applyAlignment="1">
      <alignment horizontal="right" wrapText="1"/>
      <protection/>
    </xf>
    <xf numFmtId="0" fontId="27" fillId="0" borderId="35" xfId="55" applyFont="1" applyBorder="1" applyAlignment="1">
      <alignment horizontal="left" wrapText="1"/>
      <protection/>
    </xf>
    <xf numFmtId="0" fontId="27" fillId="0" borderId="56" xfId="55" applyFont="1" applyBorder="1" applyAlignment="1">
      <alignment horizontal="left" wrapText="1"/>
      <protection/>
    </xf>
    <xf numFmtId="0" fontId="27" fillId="0" borderId="44" xfId="55" applyFont="1" applyBorder="1" applyAlignment="1">
      <alignment horizontal="left" wrapText="1"/>
      <protection/>
    </xf>
    <xf numFmtId="0" fontId="27" fillId="0" borderId="149" xfId="55" applyFont="1" applyFill="1" applyBorder="1" applyAlignment="1">
      <alignment horizontal="center" wrapText="1"/>
      <protection/>
    </xf>
    <xf numFmtId="0" fontId="27" fillId="0" borderId="44" xfId="55" applyFont="1" applyFill="1" applyBorder="1" applyAlignment="1">
      <alignment horizontal="center" vertical="center" wrapText="1"/>
      <protection/>
    </xf>
    <xf numFmtId="0" fontId="27" fillId="0" borderId="0" xfId="55" applyFont="1" applyFill="1" applyBorder="1" applyAlignment="1">
      <alignment horizontal="center" vertical="center" wrapText="1"/>
      <protection/>
    </xf>
    <xf numFmtId="0" fontId="27" fillId="0" borderId="150" xfId="55" applyFont="1" applyFill="1" applyBorder="1" applyAlignment="1">
      <alignment horizontal="center" vertical="top" wrapText="1"/>
      <protection/>
    </xf>
    <xf numFmtId="0" fontId="19" fillId="0" borderId="51" xfId="55" applyFont="1" applyFill="1" applyBorder="1" applyAlignment="1">
      <alignment horizontal="center" vertical="center" wrapText="1"/>
      <protection/>
    </xf>
    <xf numFmtId="0" fontId="19" fillId="0" borderId="0" xfId="55" applyFont="1" applyFill="1" applyAlignment="1">
      <alignment horizontal="center" vertical="center" wrapText="1"/>
      <protection/>
    </xf>
    <xf numFmtId="0" fontId="27" fillId="0" borderId="0" xfId="55" applyFont="1" applyBorder="1" applyAlignment="1">
      <alignment horizontal="left" wrapText="1"/>
      <protection/>
    </xf>
    <xf numFmtId="0" fontId="27" fillId="0" borderId="112" xfId="55" applyFont="1" applyBorder="1" applyAlignment="1">
      <alignment horizontal="left" wrapText="1"/>
      <protection/>
    </xf>
    <xf numFmtId="49" fontId="27" fillId="0" borderId="51" xfId="55" applyNumberFormat="1" applyFont="1" applyFill="1" applyBorder="1" applyAlignment="1">
      <alignment horizontal="center" vertical="center" wrapText="1"/>
      <protection/>
    </xf>
    <xf numFmtId="49" fontId="27" fillId="0" borderId="0" xfId="55" applyNumberFormat="1" applyFont="1" applyFill="1" applyBorder="1" applyAlignment="1">
      <alignment horizontal="center" vertical="center" wrapText="1"/>
      <protection/>
    </xf>
    <xf numFmtId="0" fontId="35" fillId="0" borderId="0" xfId="55" applyFont="1" applyFill="1" applyAlignment="1">
      <alignment horizontal="left" wrapText="1"/>
      <protection/>
    </xf>
    <xf numFmtId="0" fontId="28" fillId="0" borderId="15" xfId="55" applyFont="1" applyBorder="1" applyAlignment="1">
      <alignment horizontal="left" wrapText="1"/>
      <protection/>
    </xf>
    <xf numFmtId="0" fontId="27" fillId="0" borderId="82" xfId="55" applyFont="1" applyBorder="1" applyAlignment="1">
      <alignment horizontal="left" wrapText="1"/>
      <protection/>
    </xf>
    <xf numFmtId="0" fontId="27" fillId="0" borderId="83" xfId="55" applyFont="1" applyBorder="1" applyAlignment="1">
      <alignment horizontal="left" wrapText="1"/>
      <protection/>
    </xf>
    <xf numFmtId="0" fontId="33" fillId="0" borderId="56" xfId="55" applyFont="1" applyBorder="1" applyAlignment="1">
      <alignment horizontal="left" wrapText="1"/>
      <protection/>
    </xf>
    <xf numFmtId="0" fontId="28" fillId="0" borderId="15" xfId="55" applyFont="1" applyFill="1" applyBorder="1" applyAlignment="1">
      <alignment horizontal="left" wrapText="1"/>
      <protection/>
    </xf>
    <xf numFmtId="0" fontId="27" fillId="0" borderId="82" xfId="55" applyFont="1" applyFill="1" applyBorder="1" applyAlignment="1">
      <alignment horizontal="left" wrapText="1"/>
      <protection/>
    </xf>
    <xf numFmtId="0" fontId="27" fillId="0" borderId="83" xfId="55" applyFont="1" applyFill="1" applyBorder="1" applyAlignment="1">
      <alignment horizontal="left" wrapText="1"/>
      <protection/>
    </xf>
    <xf numFmtId="0" fontId="33" fillId="0" borderId="56" xfId="55" applyFont="1" applyFill="1" applyBorder="1" applyAlignment="1">
      <alignment horizontal="left" wrapText="1"/>
      <protection/>
    </xf>
    <xf numFmtId="0" fontId="27" fillId="0" borderId="44" xfId="55" applyFont="1" applyFill="1" applyBorder="1" applyAlignment="1">
      <alignment horizontal="left" wrapText="1"/>
      <protection/>
    </xf>
    <xf numFmtId="0" fontId="27" fillId="0" borderId="116" xfId="55" applyFont="1" applyFill="1" applyBorder="1" applyAlignment="1">
      <alignment horizontal="left" wrapText="1"/>
      <protection/>
    </xf>
    <xf numFmtId="0" fontId="28" fillId="39" borderId="35" xfId="55" applyFont="1" applyFill="1" applyBorder="1" applyAlignment="1">
      <alignment horizontal="left" wrapText="1"/>
      <protection/>
    </xf>
    <xf numFmtId="0" fontId="27" fillId="39" borderId="35" xfId="55" applyFont="1" applyFill="1" applyBorder="1" applyAlignment="1">
      <alignment horizontal="left" wrapText="1"/>
      <protection/>
    </xf>
    <xf numFmtId="0" fontId="27" fillId="0" borderId="149" xfId="55" applyFont="1" applyBorder="1" applyAlignment="1">
      <alignment horizontal="center" wrapText="1"/>
      <protection/>
    </xf>
    <xf numFmtId="0" fontId="27" fillId="0" borderId="150" xfId="55" applyFont="1" applyBorder="1" applyAlignment="1">
      <alignment horizontal="center" vertical="top" wrapText="1"/>
      <protection/>
    </xf>
    <xf numFmtId="0" fontId="35" fillId="0" borderId="0" xfId="55" applyFont="1" applyAlignment="1">
      <alignment horizontal="left" wrapText="1"/>
      <protection/>
    </xf>
    <xf numFmtId="0" fontId="27" fillId="0" borderId="0" xfId="55" applyFont="1" applyAlignment="1">
      <alignment horizontal="left" wrapText="1"/>
      <protection/>
    </xf>
    <xf numFmtId="0" fontId="28" fillId="34" borderId="15" xfId="55" applyFont="1" applyFill="1" applyBorder="1" applyAlignment="1">
      <alignment horizontal="left" wrapText="1"/>
      <protection/>
    </xf>
    <xf numFmtId="0" fontId="27" fillId="34" borderId="82" xfId="55" applyFont="1" applyFill="1" applyBorder="1" applyAlignment="1">
      <alignment horizontal="left" wrapText="1"/>
      <protection/>
    </xf>
    <xf numFmtId="0" fontId="27" fillId="34" borderId="83" xfId="55" applyFont="1" applyFill="1" applyBorder="1" applyAlignment="1">
      <alignment horizontal="left" wrapText="1"/>
      <protection/>
    </xf>
    <xf numFmtId="0" fontId="33" fillId="39" borderId="56" xfId="55" applyFont="1" applyFill="1" applyBorder="1" applyAlignment="1">
      <alignment horizontal="left" wrapText="1"/>
      <protection/>
    </xf>
    <xf numFmtId="0" fontId="27" fillId="39" borderId="44" xfId="55" applyFont="1" applyFill="1" applyBorder="1" applyAlignment="1">
      <alignment horizontal="left" wrapText="1"/>
      <protection/>
    </xf>
    <xf numFmtId="0" fontId="27" fillId="39" borderId="116" xfId="55" applyFont="1" applyFill="1" applyBorder="1" applyAlignment="1">
      <alignment horizontal="left" wrapText="1"/>
      <protection/>
    </xf>
    <xf numFmtId="0" fontId="28" fillId="0" borderId="44" xfId="55" applyFont="1" applyFill="1" applyBorder="1" applyAlignment="1">
      <alignment horizontal="center" wrapText="1"/>
      <protection/>
    </xf>
    <xf numFmtId="0" fontId="33" fillId="0" borderId="15" xfId="0" applyFont="1" applyBorder="1" applyAlignment="1">
      <alignment horizontal="center" vertical="top" wrapText="1"/>
    </xf>
    <xf numFmtId="0" fontId="33" fillId="0" borderId="82" xfId="0" applyFont="1" applyBorder="1" applyAlignment="1">
      <alignment horizontal="center" vertical="top" wrapText="1"/>
    </xf>
    <xf numFmtId="0" fontId="33" fillId="0" borderId="83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right"/>
    </xf>
    <xf numFmtId="0" fontId="27" fillId="0" borderId="82" xfId="0" applyFont="1" applyBorder="1" applyAlignment="1">
      <alignment horizontal="right"/>
    </xf>
    <xf numFmtId="0" fontId="27" fillId="0" borderId="83" xfId="0" applyFont="1" applyBorder="1" applyAlignment="1">
      <alignment horizontal="right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35" xfId="0" applyFont="1" applyBorder="1" applyAlignment="1">
      <alignment horizontal="right"/>
    </xf>
    <xf numFmtId="0" fontId="40" fillId="0" borderId="0" xfId="0" applyFont="1" applyAlignment="1">
      <alignment horizontal="center" wrapText="1"/>
    </xf>
    <xf numFmtId="0" fontId="28" fillId="0" borderId="0" xfId="0" applyFont="1" applyAlignment="1">
      <alignment horizontal="right" wrapText="1"/>
    </xf>
    <xf numFmtId="0" fontId="27" fillId="0" borderId="39" xfId="0" applyFont="1" applyBorder="1" applyAlignment="1">
      <alignment horizontal="center" vertical="center" wrapText="1"/>
    </xf>
    <xf numFmtId="0" fontId="27" fillId="0" borderId="8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right" wrapText="1"/>
    </xf>
    <xf numFmtId="0" fontId="32" fillId="0" borderId="82" xfId="0" applyFont="1" applyBorder="1" applyAlignment="1">
      <alignment horizontal="right" wrapText="1"/>
    </xf>
    <xf numFmtId="0" fontId="32" fillId="0" borderId="83" xfId="0" applyFont="1" applyBorder="1" applyAlignment="1">
      <alignment horizontal="right" wrapText="1"/>
    </xf>
    <xf numFmtId="0" fontId="32" fillId="0" borderId="0" xfId="0" applyFont="1" applyAlignment="1">
      <alignment horizontal="left" wrapText="1"/>
    </xf>
    <xf numFmtId="0" fontId="28" fillId="0" borderId="5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51" xfId="0" applyFont="1" applyBorder="1" applyAlignment="1">
      <alignment horizontal="center"/>
    </xf>
    <xf numFmtId="0" fontId="20" fillId="0" borderId="15" xfId="0" applyFont="1" applyBorder="1" applyAlignment="1">
      <alignment horizontal="center" wrapText="1"/>
    </xf>
    <xf numFmtId="0" fontId="20" fillId="0" borderId="82" xfId="0" applyFont="1" applyBorder="1" applyAlignment="1">
      <alignment horizontal="center" wrapText="1"/>
    </xf>
    <xf numFmtId="0" fontId="20" fillId="0" borderId="83" xfId="0" applyFont="1" applyBorder="1" applyAlignment="1">
      <alignment horizontal="center" wrapText="1"/>
    </xf>
    <xf numFmtId="0" fontId="28" fillId="0" borderId="15" xfId="0" applyFont="1" applyBorder="1" applyAlignment="1">
      <alignment horizontal="left" wrapText="1"/>
    </xf>
    <xf numFmtId="0" fontId="28" fillId="0" borderId="82" xfId="0" applyFont="1" applyBorder="1" applyAlignment="1">
      <alignment horizontal="left" wrapText="1"/>
    </xf>
    <xf numFmtId="0" fontId="28" fillId="0" borderId="83" xfId="0" applyFont="1" applyBorder="1" applyAlignment="1">
      <alignment horizontal="left" wrapText="1"/>
    </xf>
    <xf numFmtId="0" fontId="28" fillId="0" borderId="15" xfId="0" applyFont="1" applyBorder="1" applyAlignment="1">
      <alignment horizontal="left" vertical="top" wrapText="1"/>
    </xf>
    <xf numFmtId="0" fontId="28" fillId="0" borderId="82" xfId="0" applyFont="1" applyBorder="1" applyAlignment="1">
      <alignment horizontal="left" vertical="top" wrapText="1"/>
    </xf>
    <xf numFmtId="0" fontId="33" fillId="0" borderId="0" xfId="0" applyFont="1" applyFill="1" applyAlignment="1">
      <alignment horizontal="center"/>
    </xf>
    <xf numFmtId="0" fontId="33" fillId="0" borderId="15" xfId="0" applyFont="1" applyBorder="1" applyAlignment="1">
      <alignment horizontal="center" wrapText="1"/>
    </xf>
    <xf numFmtId="0" fontId="33" fillId="0" borderId="82" xfId="0" applyFont="1" applyBorder="1" applyAlignment="1">
      <alignment horizontal="center" wrapText="1"/>
    </xf>
    <xf numFmtId="0" fontId="33" fillId="0" borderId="83" xfId="0" applyFont="1" applyBorder="1" applyAlignment="1">
      <alignment horizontal="center" wrapText="1"/>
    </xf>
    <xf numFmtId="0" fontId="27" fillId="0" borderId="86" xfId="0" applyFont="1" applyBorder="1" applyAlignment="1">
      <alignment horizontal="right"/>
    </xf>
    <xf numFmtId="0" fontId="27" fillId="0" borderId="43" xfId="0" applyFont="1" applyBorder="1" applyAlignment="1">
      <alignment horizontal="right"/>
    </xf>
    <xf numFmtId="0" fontId="27" fillId="0" borderId="113" xfId="0" applyFont="1" applyBorder="1" applyAlignment="1">
      <alignment horizontal="right"/>
    </xf>
    <xf numFmtId="0" fontId="28" fillId="0" borderId="15" xfId="59" applyFont="1" applyBorder="1" applyAlignment="1">
      <alignment horizontal="right"/>
      <protection/>
    </xf>
    <xf numFmtId="0" fontId="28" fillId="0" borderId="82" xfId="59" applyFont="1" applyBorder="1" applyAlignment="1">
      <alignment horizontal="right"/>
      <protection/>
    </xf>
    <xf numFmtId="0" fontId="28" fillId="0" borderId="83" xfId="59" applyFont="1" applyBorder="1" applyAlignment="1">
      <alignment horizontal="right"/>
      <protection/>
    </xf>
    <xf numFmtId="0" fontId="27" fillId="0" borderId="51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5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1" xfId="0" applyBorder="1" applyAlignment="1">
      <alignment horizontal="center" wrapText="1"/>
    </xf>
    <xf numFmtId="0" fontId="28" fillId="0" borderId="15" xfId="0" applyFont="1" applyBorder="1" applyAlignment="1">
      <alignment horizontal="right"/>
    </xf>
    <xf numFmtId="0" fontId="28" fillId="0" borderId="82" xfId="0" applyFont="1" applyBorder="1" applyAlignment="1">
      <alignment horizontal="right"/>
    </xf>
    <xf numFmtId="0" fontId="28" fillId="0" borderId="83" xfId="0" applyFont="1" applyBorder="1" applyAlignment="1">
      <alignment horizontal="right"/>
    </xf>
    <xf numFmtId="0" fontId="33" fillId="0" borderId="0" xfId="59" applyFont="1" applyFill="1" applyAlignment="1">
      <alignment horizontal="center"/>
      <protection/>
    </xf>
    <xf numFmtId="0" fontId="27" fillId="0" borderId="0" xfId="59" applyFont="1" applyAlignment="1">
      <alignment horizontal="center"/>
      <protection/>
    </xf>
    <xf numFmtId="0" fontId="33" fillId="0" borderId="15" xfId="0" applyFont="1" applyBorder="1" applyAlignment="1">
      <alignment horizontal="center"/>
    </xf>
    <xf numFmtId="0" fontId="33" fillId="0" borderId="82" xfId="0" applyFont="1" applyBorder="1" applyAlignment="1">
      <alignment horizontal="center"/>
    </xf>
    <xf numFmtId="0" fontId="33" fillId="0" borderId="83" xfId="0" applyFont="1" applyBorder="1" applyAlignment="1">
      <alignment horizontal="center"/>
    </xf>
    <xf numFmtId="49" fontId="27" fillId="0" borderId="35" xfId="0" applyNumberFormat="1" applyFont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right" wrapText="1"/>
    </xf>
    <xf numFmtId="0" fontId="40" fillId="0" borderId="82" xfId="0" applyFont="1" applyBorder="1" applyAlignment="1">
      <alignment horizontal="right" wrapText="1"/>
    </xf>
    <xf numFmtId="0" fontId="40" fillId="0" borderId="83" xfId="0" applyFont="1" applyBorder="1" applyAlignment="1">
      <alignment horizontal="right" wrapText="1"/>
    </xf>
    <xf numFmtId="0" fontId="27" fillId="0" borderId="0" xfId="0" applyFont="1" applyBorder="1" applyAlignment="1">
      <alignment horizontal="left"/>
    </xf>
    <xf numFmtId="0" fontId="33" fillId="0" borderId="0" xfId="0" applyFont="1" applyAlignment="1">
      <alignment horizontal="center"/>
    </xf>
    <xf numFmtId="1" fontId="27" fillId="0" borderId="50" xfId="0" applyNumberFormat="1" applyFont="1" applyBorder="1" applyAlignment="1">
      <alignment horizontal="center" vertical="top" wrapText="1"/>
    </xf>
    <xf numFmtId="1" fontId="27" fillId="0" borderId="39" xfId="0" applyNumberFormat="1" applyFont="1" applyBorder="1" applyAlignment="1">
      <alignment horizontal="center" vertical="top" wrapText="1"/>
    </xf>
    <xf numFmtId="1" fontId="27" fillId="0" borderId="85" xfId="0" applyNumberFormat="1" applyFont="1" applyBorder="1" applyAlignment="1">
      <alignment horizontal="center" vertical="top" wrapText="1"/>
    </xf>
    <xf numFmtId="49" fontId="27" fillId="0" borderId="50" xfId="0" applyNumberFormat="1" applyFont="1" applyBorder="1" applyAlignment="1">
      <alignment horizontal="center" vertical="top" wrapText="1"/>
    </xf>
    <xf numFmtId="49" fontId="27" fillId="0" borderId="39" xfId="0" applyNumberFormat="1" applyFont="1" applyBorder="1" applyAlignment="1">
      <alignment horizontal="center" vertical="top" wrapText="1"/>
    </xf>
    <xf numFmtId="49" fontId="27" fillId="0" borderId="85" xfId="0" applyNumberFormat="1" applyFont="1" applyBorder="1" applyAlignment="1">
      <alignment horizontal="center" vertical="top" wrapText="1"/>
    </xf>
    <xf numFmtId="49" fontId="27" fillId="0" borderId="50" xfId="0" applyNumberFormat="1" applyFont="1" applyBorder="1" applyAlignment="1">
      <alignment horizontal="center" vertical="center" wrapText="1"/>
    </xf>
    <xf numFmtId="49" fontId="27" fillId="0" borderId="39" xfId="0" applyNumberFormat="1" applyFont="1" applyBorder="1" applyAlignment="1">
      <alignment horizontal="center" vertical="center" wrapText="1"/>
    </xf>
    <xf numFmtId="49" fontId="27" fillId="0" borderId="85" xfId="0" applyNumberFormat="1" applyFont="1" applyBorder="1" applyAlignment="1">
      <alignment horizontal="center" vertical="center" wrapText="1"/>
    </xf>
    <xf numFmtId="1" fontId="27" fillId="0" borderId="35" xfId="0" applyNumberFormat="1" applyFont="1" applyBorder="1" applyAlignment="1">
      <alignment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82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82" xfId="0" applyFont="1" applyBorder="1" applyAlignment="1">
      <alignment horizontal="left" vertical="center" wrapText="1"/>
    </xf>
    <xf numFmtId="0" fontId="28" fillId="0" borderId="35" xfId="0" applyFont="1" applyFill="1" applyBorder="1" applyAlignment="1">
      <alignment horizontal="right" wrapText="1"/>
    </xf>
    <xf numFmtId="0" fontId="27" fillId="0" borderId="50" xfId="0" applyFont="1" applyBorder="1" applyAlignment="1">
      <alignment horizontal="center" wrapText="1"/>
    </xf>
    <xf numFmtId="0" fontId="27" fillId="0" borderId="85" xfId="0" applyFont="1" applyBorder="1" applyAlignment="1">
      <alignment horizontal="center" wrapText="1"/>
    </xf>
    <xf numFmtId="2" fontId="28" fillId="0" borderId="50" xfId="0" applyNumberFormat="1" applyFont="1" applyBorder="1" applyAlignment="1">
      <alignment horizontal="center" wrapText="1"/>
    </xf>
    <xf numFmtId="2" fontId="28" fillId="0" borderId="85" xfId="0" applyNumberFormat="1" applyFont="1" applyBorder="1" applyAlignment="1">
      <alignment horizontal="center" wrapText="1"/>
    </xf>
    <xf numFmtId="0" fontId="27" fillId="0" borderId="39" xfId="0" applyFont="1" applyBorder="1" applyAlignment="1">
      <alignment horizontal="center" wrapText="1"/>
    </xf>
    <xf numFmtId="0" fontId="36" fillId="0" borderId="0" xfId="54" applyFont="1" applyAlignment="1">
      <alignment horizontal="center" wrapText="1"/>
      <protection/>
    </xf>
    <xf numFmtId="0" fontId="25" fillId="0" borderId="0" xfId="54" applyFont="1" applyAlignment="1">
      <alignment horizontal="center" vertical="center" wrapText="1"/>
      <protection/>
    </xf>
    <xf numFmtId="0" fontId="29" fillId="0" borderId="0" xfId="54" applyFont="1" applyAlignment="1">
      <alignment horizontal="center" vertical="center" wrapText="1"/>
      <protection/>
    </xf>
    <xf numFmtId="0" fontId="25" fillId="0" borderId="0" xfId="54" applyFont="1" applyBorder="1" applyAlignment="1">
      <alignment horizontal="right" wrapText="1"/>
      <protection/>
    </xf>
    <xf numFmtId="0" fontId="25" fillId="0" borderId="0" xfId="54" applyFont="1" applyBorder="1" applyAlignment="1">
      <alignment horizontal="right"/>
      <protection/>
    </xf>
    <xf numFmtId="0" fontId="25" fillId="0" borderId="35" xfId="54" applyFont="1" applyBorder="1" applyAlignment="1">
      <alignment horizontal="right" wrapText="1"/>
      <protection/>
    </xf>
    <xf numFmtId="0" fontId="38" fillId="0" borderId="15" xfId="54" applyFont="1" applyBorder="1" applyAlignment="1">
      <alignment horizontal="right" wrapText="1"/>
      <protection/>
    </xf>
    <xf numFmtId="0" fontId="38" fillId="0" borderId="82" xfId="54" applyFont="1" applyBorder="1" applyAlignment="1">
      <alignment horizontal="right" wrapText="1"/>
      <protection/>
    </xf>
    <xf numFmtId="0" fontId="38" fillId="0" borderId="83" xfId="54" applyFont="1" applyBorder="1" applyAlignment="1">
      <alignment horizontal="right" wrapText="1"/>
      <protection/>
    </xf>
    <xf numFmtId="0" fontId="25" fillId="0" borderId="15" xfId="54" applyFont="1" applyBorder="1" applyAlignment="1">
      <alignment horizontal="right" wrapText="1"/>
      <protection/>
    </xf>
    <xf numFmtId="0" fontId="25" fillId="0" borderId="82" xfId="54" applyFont="1" applyBorder="1" applyAlignment="1">
      <alignment horizontal="right" wrapText="1"/>
      <protection/>
    </xf>
    <xf numFmtId="0" fontId="25" fillId="0" borderId="83" xfId="54" applyFont="1" applyBorder="1" applyAlignment="1">
      <alignment horizontal="right" wrapText="1"/>
      <protection/>
    </xf>
    <xf numFmtId="0" fontId="38" fillId="0" borderId="0" xfId="54" applyFont="1" applyAlignment="1">
      <alignment wrapText="1"/>
      <protection/>
    </xf>
    <xf numFmtId="0" fontId="25" fillId="0" borderId="0" xfId="54" applyFont="1" applyFill="1" applyAlignment="1">
      <alignment horizontal="left" wrapText="1"/>
      <protection/>
    </xf>
    <xf numFmtId="0" fontId="37" fillId="0" borderId="0" xfId="54" applyFont="1" applyFill="1" applyAlignment="1">
      <alignment horizontal="center" wrapText="1"/>
      <protection/>
    </xf>
    <xf numFmtId="0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8" fillId="0" borderId="44" xfId="0" applyFont="1" applyBorder="1" applyAlignment="1">
      <alignment horizontal="left" wrapText="1"/>
    </xf>
    <xf numFmtId="0" fontId="28" fillId="0" borderId="116" xfId="0" applyFont="1" applyBorder="1" applyAlignment="1">
      <alignment horizontal="left" wrapText="1"/>
    </xf>
    <xf numFmtId="0" fontId="28" fillId="0" borderId="43" xfId="0" applyFont="1" applyBorder="1" applyAlignment="1">
      <alignment horizontal="right" wrapText="1"/>
    </xf>
    <xf numFmtId="0" fontId="28" fillId="0" borderId="113" xfId="0" applyFont="1" applyBorder="1" applyAlignment="1">
      <alignment horizontal="right" wrapText="1"/>
    </xf>
    <xf numFmtId="0" fontId="27" fillId="0" borderId="0" xfId="0" applyNumberFormat="1" applyFont="1" applyAlignment="1">
      <alignment vertical="center"/>
    </xf>
    <xf numFmtId="0" fontId="27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7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5" borderId="12" xfId="0" applyFont="1" applyFill="1" applyBorder="1" applyAlignment="1">
      <alignment horizontal="left" vertical="top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4" xfId="56"/>
    <cellStyle name="Обычный 2_Расшифровка сметы ФАКТ 2008 Б. улуй дд." xfId="57"/>
    <cellStyle name="Обычный 3" xfId="58"/>
    <cellStyle name="Обычный 3 2" xfId="59"/>
    <cellStyle name="Обычный 4" xfId="60"/>
    <cellStyle name="Обычный 5" xfId="61"/>
    <cellStyle name="Обычный_300 2" xfId="62"/>
    <cellStyle name="Обычный_мягкий инвентарь" xfId="63"/>
    <cellStyle name="Обычный_смета новая ст 340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Финансовый 2" xfId="75"/>
    <cellStyle name="Финансовый 2 2" xfId="76"/>
    <cellStyle name="Финансовый 3" xfId="77"/>
    <cellStyle name="Финансовый 4" xfId="78"/>
    <cellStyle name="Финансовый 5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8"/>
  <sheetViews>
    <sheetView tabSelected="1" zoomScale="90" zoomScaleNormal="90" zoomScaleSheetLayoutView="80" workbookViewId="0" topLeftCell="A345">
      <selection activeCell="B194" sqref="B194"/>
    </sheetView>
  </sheetViews>
  <sheetFormatPr defaultColWidth="9.00390625" defaultRowHeight="12.75"/>
  <cols>
    <col min="1" max="1" width="3.625" style="43" customWidth="1"/>
    <col min="2" max="2" width="39.875" style="16" customWidth="1"/>
    <col min="3" max="3" width="17.75390625" style="44" customWidth="1"/>
    <col min="4" max="4" width="15.75390625" style="17" customWidth="1"/>
    <col min="5" max="5" width="12.00390625" style="11" bestFit="1" customWidth="1"/>
    <col min="6" max="6" width="8.125" style="62" customWidth="1"/>
    <col min="7" max="7" width="12.125" style="17" customWidth="1"/>
    <col min="8" max="8" width="13.625" style="11" customWidth="1"/>
    <col min="9" max="9" width="10.875" style="62" customWidth="1"/>
    <col min="10" max="10" width="12.125" style="17" customWidth="1"/>
    <col min="11" max="11" width="14.75390625" style="11" customWidth="1"/>
    <col min="12" max="12" width="10.125" style="62" customWidth="1"/>
    <col min="13" max="13" width="14.75390625" style="17" customWidth="1"/>
    <col min="14" max="14" width="29.875" style="12" customWidth="1"/>
    <col min="15" max="15" width="11.125" style="12" bestFit="1" customWidth="1"/>
    <col min="16" max="16" width="12.00390625" style="12" bestFit="1" customWidth="1"/>
    <col min="17" max="17" width="12.125" style="12" customWidth="1"/>
    <col min="18" max="18" width="11.875" style="12" customWidth="1"/>
    <col min="19" max="19" width="12.00390625" style="82" bestFit="1" customWidth="1"/>
    <col min="20" max="36" width="9.125" style="82" customWidth="1"/>
    <col min="37" max="16384" width="9.125" style="12" customWidth="1"/>
  </cols>
  <sheetData>
    <row r="1" spans="14:15" ht="15">
      <c r="N1" s="306" t="s">
        <v>511</v>
      </c>
      <c r="O1" s="306"/>
    </row>
    <row r="2" spans="14:15" ht="15">
      <c r="N2" s="306" t="s">
        <v>509</v>
      </c>
      <c r="O2" s="306"/>
    </row>
    <row r="3" spans="14:15" ht="15">
      <c r="N3" s="848" t="s">
        <v>510</v>
      </c>
      <c r="O3" s="848"/>
    </row>
    <row r="4" spans="2:36" s="289" customFormat="1" ht="15" customHeight="1">
      <c r="B4" s="284"/>
      <c r="C4" s="285"/>
      <c r="D4" s="284"/>
      <c r="E4" s="286"/>
      <c r="F4" s="287"/>
      <c r="G4" s="288"/>
      <c r="H4" s="286"/>
      <c r="I4" s="287"/>
      <c r="J4" s="288"/>
      <c r="K4" s="286"/>
      <c r="L4" s="287"/>
      <c r="M4" s="288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</row>
    <row r="5" spans="1:4" ht="15.75" customHeight="1">
      <c r="A5" s="20" t="s">
        <v>504</v>
      </c>
      <c r="B5" s="10"/>
      <c r="C5" s="21"/>
      <c r="D5" s="10"/>
    </row>
    <row r="6" spans="1:7" ht="15" customHeight="1">
      <c r="A6" s="22"/>
      <c r="B6" s="13" t="s">
        <v>291</v>
      </c>
      <c r="C6" s="825" t="s">
        <v>421</v>
      </c>
      <c r="D6" s="825"/>
      <c r="E6" s="825"/>
      <c r="F6" s="825"/>
      <c r="G6" s="825"/>
    </row>
    <row r="7" spans="1:7" ht="15" customHeight="1" thickBot="1">
      <c r="A7" s="283" t="s">
        <v>244</v>
      </c>
      <c r="B7" s="13"/>
      <c r="C7" s="305"/>
      <c r="D7" s="305"/>
      <c r="E7" s="305"/>
      <c r="F7" s="305"/>
      <c r="G7" s="305"/>
    </row>
    <row r="8" spans="1:14" ht="15" customHeight="1">
      <c r="A8" s="845" t="s">
        <v>305</v>
      </c>
      <c r="B8" s="826" t="s">
        <v>2</v>
      </c>
      <c r="C8" s="828" t="s">
        <v>294</v>
      </c>
      <c r="D8" s="830" t="s">
        <v>295</v>
      </c>
      <c r="E8" s="830"/>
      <c r="F8" s="830"/>
      <c r="G8" s="830"/>
      <c r="H8" s="830"/>
      <c r="I8" s="830"/>
      <c r="J8" s="830"/>
      <c r="K8" s="830"/>
      <c r="L8" s="830"/>
      <c r="M8" s="830"/>
      <c r="N8" s="822" t="s">
        <v>307</v>
      </c>
    </row>
    <row r="9" spans="1:14" ht="12" customHeight="1">
      <c r="A9" s="846"/>
      <c r="B9" s="827"/>
      <c r="C9" s="829"/>
      <c r="D9" s="831"/>
      <c r="E9" s="831"/>
      <c r="F9" s="831"/>
      <c r="G9" s="831"/>
      <c r="H9" s="831"/>
      <c r="I9" s="831"/>
      <c r="J9" s="831"/>
      <c r="K9" s="831"/>
      <c r="L9" s="831"/>
      <c r="M9" s="831"/>
      <c r="N9" s="823"/>
    </row>
    <row r="10" spans="1:14" ht="12.75" customHeight="1">
      <c r="A10" s="846"/>
      <c r="B10" s="827"/>
      <c r="C10" s="829"/>
      <c r="D10" s="832">
        <v>2017</v>
      </c>
      <c r="E10" s="834">
        <v>2018</v>
      </c>
      <c r="F10" s="835"/>
      <c r="G10" s="836"/>
      <c r="H10" s="834">
        <v>2019</v>
      </c>
      <c r="I10" s="835"/>
      <c r="J10" s="836"/>
      <c r="K10" s="834">
        <v>2020</v>
      </c>
      <c r="L10" s="835"/>
      <c r="M10" s="836"/>
      <c r="N10" s="823"/>
    </row>
    <row r="11" spans="1:36" s="14" customFormat="1" ht="38.25" customHeight="1">
      <c r="A11" s="847"/>
      <c r="B11" s="827"/>
      <c r="C11" s="829"/>
      <c r="D11" s="833"/>
      <c r="E11" s="121" t="s">
        <v>310</v>
      </c>
      <c r="F11" s="122" t="s">
        <v>353</v>
      </c>
      <c r="G11" s="123" t="s">
        <v>309</v>
      </c>
      <c r="H11" s="175" t="s">
        <v>310</v>
      </c>
      <c r="I11" s="122" t="s">
        <v>353</v>
      </c>
      <c r="J11" s="179" t="s">
        <v>309</v>
      </c>
      <c r="K11" s="121" t="s">
        <v>310</v>
      </c>
      <c r="L11" s="122" t="s">
        <v>353</v>
      </c>
      <c r="M11" s="123" t="s">
        <v>309</v>
      </c>
      <c r="N11" s="824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</row>
    <row r="12" spans="1:14" s="124" customFormat="1" ht="12" customHeight="1">
      <c r="A12" s="297">
        <v>1</v>
      </c>
      <c r="B12" s="183">
        <f>1+A12</f>
        <v>2</v>
      </c>
      <c r="C12" s="183">
        <f>1+B12</f>
        <v>3</v>
      </c>
      <c r="D12" s="184">
        <f aca="true" t="shared" si="0" ref="D12:N12">1+C12</f>
        <v>4</v>
      </c>
      <c r="E12" s="185">
        <f t="shared" si="0"/>
        <v>5</v>
      </c>
      <c r="F12" s="186">
        <f t="shared" si="0"/>
        <v>6</v>
      </c>
      <c r="G12" s="187">
        <f t="shared" si="0"/>
        <v>7</v>
      </c>
      <c r="H12" s="188">
        <f t="shared" si="0"/>
        <v>8</v>
      </c>
      <c r="I12" s="186">
        <f t="shared" si="0"/>
        <v>9</v>
      </c>
      <c r="J12" s="189">
        <f t="shared" si="0"/>
        <v>10</v>
      </c>
      <c r="K12" s="185">
        <f t="shared" si="0"/>
        <v>11</v>
      </c>
      <c r="L12" s="186">
        <f t="shared" si="0"/>
        <v>12</v>
      </c>
      <c r="M12" s="187">
        <f t="shared" si="0"/>
        <v>13</v>
      </c>
      <c r="N12" s="298">
        <f t="shared" si="0"/>
        <v>14</v>
      </c>
    </row>
    <row r="13" spans="1:14" s="124" customFormat="1" ht="12" customHeight="1">
      <c r="A13" s="839" t="s">
        <v>423</v>
      </c>
      <c r="B13" s="840"/>
      <c r="C13" s="197"/>
      <c r="D13" s="197"/>
      <c r="E13" s="198"/>
      <c r="F13" s="199"/>
      <c r="G13" s="200"/>
      <c r="H13" s="198"/>
      <c r="I13" s="199"/>
      <c r="J13" s="201"/>
      <c r="K13" s="198"/>
      <c r="L13" s="199"/>
      <c r="M13" s="200"/>
      <c r="N13" s="299"/>
    </row>
    <row r="14" spans="1:14" s="82" customFormat="1" ht="14.25" customHeight="1">
      <c r="A14" s="300" t="s">
        <v>3</v>
      </c>
      <c r="B14" s="236"/>
      <c r="C14" s="237"/>
      <c r="D14" s="238"/>
      <c r="E14" s="88"/>
      <c r="F14" s="89"/>
      <c r="G14" s="239"/>
      <c r="H14" s="88"/>
      <c r="I14" s="89"/>
      <c r="J14" s="240"/>
      <c r="K14" s="88"/>
      <c r="L14" s="89"/>
      <c r="M14" s="239"/>
      <c r="N14" s="91"/>
    </row>
    <row r="15" spans="1:14" ht="24">
      <c r="A15" s="73">
        <v>1</v>
      </c>
      <c r="B15" s="196" t="s">
        <v>4</v>
      </c>
      <c r="C15" s="217"/>
      <c r="D15" s="163">
        <v>19932020.21</v>
      </c>
      <c r="E15" s="164">
        <v>18895157.21</v>
      </c>
      <c r="F15" s="165">
        <v>1</v>
      </c>
      <c r="G15" s="142">
        <f>ROUNDDOWN(E15*F15,0)</f>
        <v>18895157</v>
      </c>
      <c r="H15" s="164">
        <v>18895157.21</v>
      </c>
      <c r="I15" s="165">
        <v>1</v>
      </c>
      <c r="J15" s="142">
        <f>ROUNDDOWN(H15*I15,0)</f>
        <v>18895157</v>
      </c>
      <c r="K15" s="164">
        <v>18895157.21</v>
      </c>
      <c r="L15" s="165">
        <v>1</v>
      </c>
      <c r="M15" s="142">
        <f>ROUNDDOWN(K15*L15,0)</f>
        <v>18895157</v>
      </c>
      <c r="N15" s="166"/>
    </row>
    <row r="16" spans="1:14" ht="48">
      <c r="A16" s="71">
        <v>2</v>
      </c>
      <c r="B16" s="75" t="s">
        <v>334</v>
      </c>
      <c r="C16" s="2" t="s">
        <v>130</v>
      </c>
      <c r="D16" s="25"/>
      <c r="E16" s="26"/>
      <c r="F16" s="64">
        <v>1</v>
      </c>
      <c r="G16" s="142">
        <f>ROUNDDOWN(E16*F16,0)</f>
        <v>0</v>
      </c>
      <c r="H16" s="5">
        <f>G16</f>
        <v>0</v>
      </c>
      <c r="I16" s="64">
        <v>1</v>
      </c>
      <c r="J16" s="142">
        <f>ROUNDDOWN(H16*I16,0)</f>
        <v>0</v>
      </c>
      <c r="K16" s="5">
        <f>J16</f>
        <v>0</v>
      </c>
      <c r="L16" s="64">
        <v>1</v>
      </c>
      <c r="M16" s="142">
        <f>ROUNDDOWN(K16*L16,0)</f>
        <v>0</v>
      </c>
      <c r="N16" s="53"/>
    </row>
    <row r="17" spans="1:14" ht="12.75" thickBot="1">
      <c r="A17" s="47"/>
      <c r="B17" s="76" t="s">
        <v>333</v>
      </c>
      <c r="C17" s="68"/>
      <c r="D17" s="172">
        <v>18895157.21</v>
      </c>
      <c r="E17" s="45">
        <f>ROUNDDOWN(SUM(E15:E16),2)</f>
        <v>18895157.21</v>
      </c>
      <c r="F17" s="66"/>
      <c r="G17" s="46">
        <f>ROUNDDOWN(SUM(G15:G16),0)</f>
        <v>18895157</v>
      </c>
      <c r="H17" s="46">
        <f>ROUNDDOWN(SUM(H15:H16),2)</f>
        <v>18895157.21</v>
      </c>
      <c r="I17" s="66"/>
      <c r="J17" s="46">
        <f>ROUNDDOWN(SUM(J15:J16),0)</f>
        <v>18895157</v>
      </c>
      <c r="K17" s="172">
        <f>ROUNDDOWN(SUM(K15:K16),2)</f>
        <v>18895157.21</v>
      </c>
      <c r="L17" s="66"/>
      <c r="M17" s="46">
        <f>ROUNDDOWN(SUM(M15:M16),0)</f>
        <v>18895157</v>
      </c>
      <c r="N17" s="83"/>
    </row>
    <row r="18" spans="1:14" ht="13.5" thickBot="1">
      <c r="A18" s="841" t="s">
        <v>424</v>
      </c>
      <c r="B18" s="842"/>
      <c r="C18" s="155"/>
      <c r="D18" s="173">
        <f>ROUNDDOWN((D15+D16),2)</f>
        <v>19932020.21</v>
      </c>
      <c r="E18" s="176">
        <f>ROUNDDOWN((E15+E16),2)</f>
        <v>18895157.21</v>
      </c>
      <c r="F18" s="157"/>
      <c r="G18" s="156">
        <f>ROUNDDOWN((G15+G16),0)</f>
        <v>18895157</v>
      </c>
      <c r="H18" s="176">
        <f>ROUNDDOWN((H15+H16),2)</f>
        <v>18895157.21</v>
      </c>
      <c r="I18" s="157"/>
      <c r="J18" s="156">
        <f>ROUNDDOWN((J15+J16),0)</f>
        <v>18895157</v>
      </c>
      <c r="K18" s="176">
        <f>ROUNDDOWN((K15+K16),2)</f>
        <v>18895157.21</v>
      </c>
      <c r="L18" s="157"/>
      <c r="M18" s="156">
        <f>ROUNDDOWN((M15+M16),0)</f>
        <v>18895157</v>
      </c>
      <c r="N18" s="158"/>
    </row>
    <row r="19" spans="1:14" s="124" customFormat="1" ht="12" customHeight="1">
      <c r="A19" s="850" t="s">
        <v>489</v>
      </c>
      <c r="B19" s="851"/>
      <c r="C19" s="197"/>
      <c r="D19" s="197"/>
      <c r="E19" s="198"/>
      <c r="F19" s="199"/>
      <c r="G19" s="200"/>
      <c r="H19" s="198"/>
      <c r="I19" s="199"/>
      <c r="J19" s="201"/>
      <c r="K19" s="198"/>
      <c r="L19" s="199"/>
      <c r="M19" s="200"/>
      <c r="N19" s="299"/>
    </row>
    <row r="20" spans="1:14" ht="12">
      <c r="A20" s="300" t="s">
        <v>359</v>
      </c>
      <c r="B20" s="236"/>
      <c r="C20" s="86"/>
      <c r="D20" s="242"/>
      <c r="E20" s="88"/>
      <c r="F20" s="89"/>
      <c r="G20" s="90"/>
      <c r="H20" s="88"/>
      <c r="I20" s="89"/>
      <c r="J20" s="90"/>
      <c r="K20" s="88"/>
      <c r="L20" s="89"/>
      <c r="M20" s="90"/>
      <c r="N20" s="91"/>
    </row>
    <row r="21" spans="1:14" ht="48.75" thickBot="1">
      <c r="A21" s="72">
        <v>1</v>
      </c>
      <c r="B21" s="137" t="s">
        <v>360</v>
      </c>
      <c r="C21" s="138" t="s">
        <v>400</v>
      </c>
      <c r="D21" s="140">
        <v>6016350.48</v>
      </c>
      <c r="E21" s="140">
        <v>5706337.48</v>
      </c>
      <c r="F21" s="141">
        <v>1</v>
      </c>
      <c r="G21" s="142">
        <f>ROUNDDOWN(E21*F21,0)</f>
        <v>5706337</v>
      </c>
      <c r="H21" s="140">
        <v>5706337.48</v>
      </c>
      <c r="I21" s="141">
        <v>1</v>
      </c>
      <c r="J21" s="142">
        <f>ROUNDDOWN(H21*I21,0)</f>
        <v>5706337</v>
      </c>
      <c r="K21" s="140">
        <f>ROUND(K17*0.302,2)</f>
        <v>5706337.48</v>
      </c>
      <c r="L21" s="141">
        <v>1</v>
      </c>
      <c r="M21" s="142">
        <f>ROUNDDOWN(K21*L21,0)</f>
        <v>5706337</v>
      </c>
      <c r="N21" s="143"/>
    </row>
    <row r="22" spans="1:14" ht="13.5" customHeight="1" thickBot="1">
      <c r="A22" s="841" t="s">
        <v>490</v>
      </c>
      <c r="B22" s="842"/>
      <c r="C22" s="155"/>
      <c r="D22" s="173">
        <f>ROUNDDOWN((D21),2)</f>
        <v>6016350.48</v>
      </c>
      <c r="E22" s="176">
        <f>ROUNDDOWN((E21),2)</f>
        <v>5706337.48</v>
      </c>
      <c r="F22" s="157"/>
      <c r="G22" s="156">
        <f>ROUNDDOWN((G21),0)</f>
        <v>5706337</v>
      </c>
      <c r="H22" s="176">
        <f>ROUNDDOWN((H21),2)</f>
        <v>5706337.48</v>
      </c>
      <c r="I22" s="157"/>
      <c r="J22" s="156">
        <f>ROUNDDOWN((J21),0)</f>
        <v>5706337</v>
      </c>
      <c r="K22" s="176">
        <f>ROUNDDOWN((K21),2)</f>
        <v>5706337.48</v>
      </c>
      <c r="L22" s="157"/>
      <c r="M22" s="156">
        <f>ROUNDDOWN((M21),0)</f>
        <v>5706337</v>
      </c>
      <c r="N22" s="158"/>
    </row>
    <row r="23" spans="1:14" ht="12.75">
      <c r="A23" s="843" t="s">
        <v>425</v>
      </c>
      <c r="B23" s="844"/>
      <c r="C23" s="249"/>
      <c r="D23" s="249"/>
      <c r="E23" s="250"/>
      <c r="F23" s="251"/>
      <c r="G23" s="252"/>
      <c r="H23" s="250"/>
      <c r="I23" s="251"/>
      <c r="J23" s="252"/>
      <c r="K23" s="250"/>
      <c r="L23" s="251"/>
      <c r="M23" s="252"/>
      <c r="N23" s="301"/>
    </row>
    <row r="24" spans="1:14" ht="12">
      <c r="A24" s="84" t="s">
        <v>5</v>
      </c>
      <c r="B24" s="85"/>
      <c r="C24" s="86"/>
      <c r="D24" s="87"/>
      <c r="E24" s="88"/>
      <c r="F24" s="89"/>
      <c r="G24" s="90"/>
      <c r="H24" s="88"/>
      <c r="I24" s="89"/>
      <c r="J24" s="90"/>
      <c r="K24" s="88"/>
      <c r="L24" s="89"/>
      <c r="M24" s="90"/>
      <c r="N24" s="91"/>
    </row>
    <row r="25" spans="1:14" ht="123.75" hidden="1">
      <c r="A25" s="72">
        <v>1</v>
      </c>
      <c r="B25" s="137" t="s">
        <v>6</v>
      </c>
      <c r="C25" s="162" t="s">
        <v>499</v>
      </c>
      <c r="D25" s="163"/>
      <c r="E25" s="164"/>
      <c r="F25" s="165">
        <v>1</v>
      </c>
      <c r="G25" s="142">
        <f>ROUNDDOWN(E25*F25,0)</f>
        <v>0</v>
      </c>
      <c r="H25" s="164">
        <f>G25</f>
        <v>0</v>
      </c>
      <c r="I25" s="165">
        <v>1</v>
      </c>
      <c r="J25" s="142">
        <f>ROUNDDOWN(H25*I25,0)</f>
        <v>0</v>
      </c>
      <c r="K25" s="164">
        <f>J25</f>
        <v>0</v>
      </c>
      <c r="L25" s="165">
        <v>1</v>
      </c>
      <c r="M25" s="142">
        <f>ROUNDDOWN(K25*L25,0)</f>
        <v>0</v>
      </c>
      <c r="N25" s="166"/>
    </row>
    <row r="26" spans="1:14" ht="45" hidden="1">
      <c r="A26" s="72">
        <f>A25+1</f>
        <v>2</v>
      </c>
      <c r="B26" s="291" t="s">
        <v>32</v>
      </c>
      <c r="C26" s="3" t="s">
        <v>285</v>
      </c>
      <c r="D26" s="163"/>
      <c r="E26" s="164"/>
      <c r="F26" s="165"/>
      <c r="G26" s="142"/>
      <c r="H26" s="164"/>
      <c r="I26" s="141"/>
      <c r="J26" s="142"/>
      <c r="K26" s="164"/>
      <c r="L26" s="165"/>
      <c r="M26" s="142"/>
      <c r="N26" s="166"/>
    </row>
    <row r="27" spans="1:14" ht="24" hidden="1">
      <c r="A27" s="72">
        <f>A26+1</f>
        <v>3</v>
      </c>
      <c r="B27" s="292" t="s">
        <v>86</v>
      </c>
      <c r="C27" s="162" t="s">
        <v>243</v>
      </c>
      <c r="D27" s="163"/>
      <c r="E27" s="164"/>
      <c r="F27" s="165"/>
      <c r="G27" s="142"/>
      <c r="H27" s="164"/>
      <c r="I27" s="141"/>
      <c r="J27" s="142"/>
      <c r="K27" s="164"/>
      <c r="L27" s="165"/>
      <c r="M27" s="142"/>
      <c r="N27" s="166"/>
    </row>
    <row r="28" spans="1:14" ht="48" hidden="1">
      <c r="A28" s="72">
        <f>A27+1</f>
        <v>4</v>
      </c>
      <c r="B28" s="75" t="s">
        <v>67</v>
      </c>
      <c r="C28" s="3" t="s">
        <v>267</v>
      </c>
      <c r="D28" s="6"/>
      <c r="E28" s="5"/>
      <c r="F28" s="63">
        <v>1</v>
      </c>
      <c r="G28" s="142">
        <f>ROUNDDOWN(E28*F28,0)</f>
        <v>0</v>
      </c>
      <c r="H28" s="5">
        <f>G28</f>
        <v>0</v>
      </c>
      <c r="I28" s="64">
        <v>1</v>
      </c>
      <c r="J28" s="142">
        <f>ROUNDDOWN(H28*I28,0)</f>
        <v>0</v>
      </c>
      <c r="K28" s="5">
        <f>J28</f>
        <v>0</v>
      </c>
      <c r="L28" s="63">
        <v>1</v>
      </c>
      <c r="M28" s="142">
        <f>ROUNDDOWN(K28*L28,0)</f>
        <v>0</v>
      </c>
      <c r="N28" s="52"/>
    </row>
    <row r="29" spans="1:14" ht="33.75" hidden="1">
      <c r="A29" s="72">
        <f>A28+1</f>
        <v>5</v>
      </c>
      <c r="B29" s="74" t="s">
        <v>7</v>
      </c>
      <c r="C29" s="3" t="s">
        <v>68</v>
      </c>
      <c r="D29" s="6"/>
      <c r="E29" s="5"/>
      <c r="F29" s="63">
        <v>1</v>
      </c>
      <c r="G29" s="142">
        <f>ROUNDDOWN(E29*F29,0)</f>
        <v>0</v>
      </c>
      <c r="H29" s="5">
        <f>G29</f>
        <v>0</v>
      </c>
      <c r="I29" s="64">
        <v>1</v>
      </c>
      <c r="J29" s="142">
        <f>ROUNDDOWN(H29*I29,0)</f>
        <v>0</v>
      </c>
      <c r="K29" s="5">
        <f>J29</f>
        <v>0</v>
      </c>
      <c r="L29" s="63">
        <v>1</v>
      </c>
      <c r="M29" s="142">
        <f>ROUNDDOWN(K29*L29,0)</f>
        <v>0</v>
      </c>
      <c r="N29" s="52"/>
    </row>
    <row r="30" spans="1:15" ht="33.75">
      <c r="A30" s="72">
        <f>A29+1</f>
        <v>6</v>
      </c>
      <c r="B30" s="75" t="s">
        <v>69</v>
      </c>
      <c r="C30" s="2" t="s">
        <v>505</v>
      </c>
      <c r="D30" s="27">
        <f>3900</f>
        <v>3900</v>
      </c>
      <c r="E30" s="5">
        <v>780</v>
      </c>
      <c r="F30" s="63">
        <v>1</v>
      </c>
      <c r="G30" s="142">
        <f>ROUNDDOWN(E30*F30,0)</f>
        <v>780</v>
      </c>
      <c r="H30" s="5">
        <f>G30</f>
        <v>780</v>
      </c>
      <c r="I30" s="64">
        <v>1</v>
      </c>
      <c r="J30" s="142">
        <f>ROUNDDOWN(H30*I30,0)</f>
        <v>780</v>
      </c>
      <c r="K30" s="5">
        <f>J30</f>
        <v>780</v>
      </c>
      <c r="L30" s="63">
        <v>1</v>
      </c>
      <c r="M30" s="142">
        <f>ROUNDDOWN(K30*L30,0)</f>
        <v>780</v>
      </c>
      <c r="N30" s="54" t="s">
        <v>532</v>
      </c>
      <c r="O30" s="12">
        <f>65*12</f>
        <v>780</v>
      </c>
    </row>
    <row r="31" spans="1:36" s="10" customFormat="1" ht="12.75" thickBot="1">
      <c r="A31" s="48"/>
      <c r="B31" s="76" t="s">
        <v>8</v>
      </c>
      <c r="C31" s="69"/>
      <c r="D31" s="15">
        <f>ROUNDDOWN(SUM(D25:D30),2)</f>
        <v>3900</v>
      </c>
      <c r="E31" s="28">
        <f>ROUNDDOWN(SUM(E25:E30),2)</f>
        <v>780</v>
      </c>
      <c r="F31" s="65"/>
      <c r="G31" s="29">
        <f>ROUNDDOWN(SUM(G25:G30),0)</f>
        <v>780</v>
      </c>
      <c r="H31" s="29">
        <f>ROUNDDOWN(SUM(H25:H30),2)</f>
        <v>780</v>
      </c>
      <c r="I31" s="29"/>
      <c r="J31" s="29">
        <f>ROUNDDOWN(SUM(J25:J30),0)</f>
        <v>780</v>
      </c>
      <c r="K31" s="29">
        <f>ROUNDDOWN(SUM(K25:K30),2)</f>
        <v>780</v>
      </c>
      <c r="L31" s="29"/>
      <c r="M31" s="29">
        <f>ROUNDDOWN(SUM(M25:M30),0)</f>
        <v>780</v>
      </c>
      <c r="N31" s="56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</row>
    <row r="32" spans="1:14" ht="13.5" thickBot="1">
      <c r="A32" s="841" t="s">
        <v>426</v>
      </c>
      <c r="B32" s="842"/>
      <c r="C32" s="155"/>
      <c r="D32" s="173">
        <f>ROUNDDOWN((D31),2)</f>
        <v>3900</v>
      </c>
      <c r="E32" s="176">
        <f>ROUNDDOWN((E31),2)</f>
        <v>780</v>
      </c>
      <c r="F32" s="157"/>
      <c r="G32" s="156">
        <f>ROUNDDOWN((G31),0)</f>
        <v>780</v>
      </c>
      <c r="H32" s="176">
        <f>ROUNDDOWN((H31),2)</f>
        <v>780</v>
      </c>
      <c r="I32" s="157"/>
      <c r="J32" s="156">
        <f>ROUNDDOWN((J31),0)</f>
        <v>780</v>
      </c>
      <c r="K32" s="176">
        <f>ROUNDDOWN((K31),2)</f>
        <v>780</v>
      </c>
      <c r="L32" s="157"/>
      <c r="M32" s="156">
        <f>ROUNDDOWN((M31),0)</f>
        <v>780</v>
      </c>
      <c r="N32" s="158"/>
    </row>
    <row r="33" spans="1:14" ht="12.75">
      <c r="A33" s="843" t="s">
        <v>427</v>
      </c>
      <c r="B33" s="844"/>
      <c r="C33" s="253"/>
      <c r="D33" s="254"/>
      <c r="E33" s="255"/>
      <c r="F33" s="256"/>
      <c r="G33" s="257"/>
      <c r="H33" s="255"/>
      <c r="I33" s="256"/>
      <c r="J33" s="257"/>
      <c r="K33" s="255"/>
      <c r="L33" s="256"/>
      <c r="M33" s="257"/>
      <c r="N33" s="258"/>
    </row>
    <row r="34" spans="1:14" ht="12">
      <c r="A34" s="84" t="s">
        <v>9</v>
      </c>
      <c r="B34" s="85"/>
      <c r="C34" s="86"/>
      <c r="D34" s="87"/>
      <c r="E34" s="88"/>
      <c r="F34" s="89"/>
      <c r="G34" s="90"/>
      <c r="H34" s="88"/>
      <c r="I34" s="89"/>
      <c r="J34" s="90"/>
      <c r="K34" s="88"/>
      <c r="L34" s="89"/>
      <c r="M34" s="90"/>
      <c r="N34" s="91"/>
    </row>
    <row r="35" spans="1:14" ht="12">
      <c r="A35" s="72">
        <v>1</v>
      </c>
      <c r="B35" s="77" t="s">
        <v>10</v>
      </c>
      <c r="C35" s="30"/>
      <c r="D35" s="218"/>
      <c r="E35" s="219"/>
      <c r="F35" s="220"/>
      <c r="G35" s="221"/>
      <c r="H35" s="219"/>
      <c r="I35" s="220"/>
      <c r="J35" s="221"/>
      <c r="K35" s="219"/>
      <c r="L35" s="220"/>
      <c r="M35" s="221"/>
      <c r="N35" s="222"/>
    </row>
    <row r="36" spans="1:14" ht="22.5" hidden="1">
      <c r="A36" s="72"/>
      <c r="B36" s="74" t="s">
        <v>12</v>
      </c>
      <c r="C36" s="3" t="s">
        <v>19</v>
      </c>
      <c r="D36" s="6"/>
      <c r="E36" s="5"/>
      <c r="F36" s="63">
        <v>1</v>
      </c>
      <c r="G36" s="142">
        <f>ROUND(E36*F36,0)</f>
        <v>0</v>
      </c>
      <c r="H36" s="5">
        <f>G36</f>
        <v>0</v>
      </c>
      <c r="I36" s="64">
        <v>1</v>
      </c>
      <c r="J36" s="142">
        <f>ROUND(H36*I36,0)</f>
        <v>0</v>
      </c>
      <c r="K36" s="5">
        <f>J36</f>
        <v>0</v>
      </c>
      <c r="L36" s="63">
        <v>1</v>
      </c>
      <c r="M36" s="142">
        <f>ROUND(K36*L36,0)</f>
        <v>0</v>
      </c>
      <c r="N36" s="52"/>
    </row>
    <row r="37" spans="1:14" ht="22.5" hidden="1">
      <c r="A37" s="72"/>
      <c r="B37" s="74" t="s">
        <v>13</v>
      </c>
      <c r="C37" s="3" t="s">
        <v>20</v>
      </c>
      <c r="D37" s="6"/>
      <c r="E37" s="5"/>
      <c r="F37" s="63">
        <v>1</v>
      </c>
      <c r="G37" s="142">
        <f aca="true" t="shared" si="1" ref="G37:G55">ROUND(E37*F37,0)</f>
        <v>0</v>
      </c>
      <c r="H37" s="5">
        <f aca="true" t="shared" si="2" ref="H37:H55">G37</f>
        <v>0</v>
      </c>
      <c r="I37" s="64">
        <v>1</v>
      </c>
      <c r="J37" s="142">
        <f aca="true" t="shared" si="3" ref="J37:J55">ROUND(H37*I37,0)</f>
        <v>0</v>
      </c>
      <c r="K37" s="5">
        <f aca="true" t="shared" si="4" ref="K37:K55">J37</f>
        <v>0</v>
      </c>
      <c r="L37" s="63">
        <v>1</v>
      </c>
      <c r="M37" s="142">
        <f aca="true" t="shared" si="5" ref="M37:M55">ROUND(K37*L37,0)</f>
        <v>0</v>
      </c>
      <c r="N37" s="52"/>
    </row>
    <row r="38" spans="1:14" ht="22.5" hidden="1">
      <c r="A38" s="72"/>
      <c r="B38" s="74" t="s">
        <v>14</v>
      </c>
      <c r="C38" s="3" t="s">
        <v>20</v>
      </c>
      <c r="D38" s="6"/>
      <c r="E38" s="5"/>
      <c r="F38" s="63">
        <v>1</v>
      </c>
      <c r="G38" s="142">
        <f t="shared" si="1"/>
        <v>0</v>
      </c>
      <c r="H38" s="5">
        <f t="shared" si="2"/>
        <v>0</v>
      </c>
      <c r="I38" s="64">
        <v>1</v>
      </c>
      <c r="J38" s="142">
        <f t="shared" si="3"/>
        <v>0</v>
      </c>
      <c r="K38" s="5">
        <f t="shared" si="4"/>
        <v>0</v>
      </c>
      <c r="L38" s="63">
        <v>1</v>
      </c>
      <c r="M38" s="142">
        <f t="shared" si="5"/>
        <v>0</v>
      </c>
      <c r="N38" s="52"/>
    </row>
    <row r="39" spans="1:14" ht="22.5" hidden="1">
      <c r="A39" s="72"/>
      <c r="B39" s="74" t="s">
        <v>15</v>
      </c>
      <c r="C39" s="3" t="s">
        <v>20</v>
      </c>
      <c r="D39" s="6"/>
      <c r="E39" s="5"/>
      <c r="F39" s="63">
        <v>1</v>
      </c>
      <c r="G39" s="142">
        <f t="shared" si="1"/>
        <v>0</v>
      </c>
      <c r="H39" s="5">
        <f t="shared" si="2"/>
        <v>0</v>
      </c>
      <c r="I39" s="64">
        <v>1</v>
      </c>
      <c r="J39" s="142">
        <f t="shared" si="3"/>
        <v>0</v>
      </c>
      <c r="K39" s="5">
        <f t="shared" si="4"/>
        <v>0</v>
      </c>
      <c r="L39" s="63">
        <v>1</v>
      </c>
      <c r="M39" s="142">
        <f t="shared" si="5"/>
        <v>0</v>
      </c>
      <c r="N39" s="52"/>
    </row>
    <row r="40" spans="1:14" ht="24" hidden="1">
      <c r="A40" s="72"/>
      <c r="B40" s="74" t="s">
        <v>16</v>
      </c>
      <c r="C40" s="3" t="s">
        <v>20</v>
      </c>
      <c r="D40" s="6"/>
      <c r="E40" s="5"/>
      <c r="F40" s="63">
        <v>1</v>
      </c>
      <c r="G40" s="142">
        <f t="shared" si="1"/>
        <v>0</v>
      </c>
      <c r="H40" s="5">
        <f t="shared" si="2"/>
        <v>0</v>
      </c>
      <c r="I40" s="64">
        <v>1</v>
      </c>
      <c r="J40" s="142">
        <f t="shared" si="3"/>
        <v>0</v>
      </c>
      <c r="K40" s="5">
        <f t="shared" si="4"/>
        <v>0</v>
      </c>
      <c r="L40" s="63">
        <v>1</v>
      </c>
      <c r="M40" s="142">
        <f t="shared" si="5"/>
        <v>0</v>
      </c>
      <c r="N40" s="52"/>
    </row>
    <row r="41" spans="1:14" ht="22.5" hidden="1">
      <c r="A41" s="73"/>
      <c r="B41" s="74" t="s">
        <v>17</v>
      </c>
      <c r="C41" s="3" t="s">
        <v>20</v>
      </c>
      <c r="D41" s="6"/>
      <c r="E41" s="5"/>
      <c r="F41" s="63">
        <v>1</v>
      </c>
      <c r="G41" s="142">
        <f t="shared" si="1"/>
        <v>0</v>
      </c>
      <c r="H41" s="5">
        <f t="shared" si="2"/>
        <v>0</v>
      </c>
      <c r="I41" s="64">
        <v>1</v>
      </c>
      <c r="J41" s="142">
        <f t="shared" si="3"/>
        <v>0</v>
      </c>
      <c r="K41" s="5">
        <f t="shared" si="4"/>
        <v>0</v>
      </c>
      <c r="L41" s="63">
        <v>1</v>
      </c>
      <c r="M41" s="142">
        <f t="shared" si="5"/>
        <v>0</v>
      </c>
      <c r="N41" s="52"/>
    </row>
    <row r="42" spans="1:14" ht="22.5" hidden="1">
      <c r="A42" s="50">
        <v>2</v>
      </c>
      <c r="B42" s="74" t="s">
        <v>11</v>
      </c>
      <c r="C42" s="3" t="s">
        <v>284</v>
      </c>
      <c r="D42" s="6"/>
      <c r="E42" s="5"/>
      <c r="F42" s="63">
        <v>1</v>
      </c>
      <c r="G42" s="142">
        <f t="shared" si="1"/>
        <v>0</v>
      </c>
      <c r="H42" s="5">
        <f t="shared" si="2"/>
        <v>0</v>
      </c>
      <c r="I42" s="64">
        <v>1</v>
      </c>
      <c r="J42" s="142">
        <f t="shared" si="3"/>
        <v>0</v>
      </c>
      <c r="K42" s="5">
        <f t="shared" si="4"/>
        <v>0</v>
      </c>
      <c r="L42" s="63">
        <v>1</v>
      </c>
      <c r="M42" s="142">
        <f t="shared" si="5"/>
        <v>0</v>
      </c>
      <c r="N42" s="52"/>
    </row>
    <row r="43" spans="1:14" ht="22.5" hidden="1">
      <c r="A43" s="50">
        <f>1+A42</f>
        <v>3</v>
      </c>
      <c r="B43" s="74" t="s">
        <v>289</v>
      </c>
      <c r="C43" s="3" t="s">
        <v>20</v>
      </c>
      <c r="D43" s="6"/>
      <c r="E43" s="5"/>
      <c r="F43" s="63">
        <v>1</v>
      </c>
      <c r="G43" s="142">
        <f t="shared" si="1"/>
        <v>0</v>
      </c>
      <c r="H43" s="5">
        <f t="shared" si="2"/>
        <v>0</v>
      </c>
      <c r="I43" s="64">
        <v>1</v>
      </c>
      <c r="J43" s="142">
        <f t="shared" si="3"/>
        <v>0</v>
      </c>
      <c r="K43" s="5">
        <f t="shared" si="4"/>
        <v>0</v>
      </c>
      <c r="L43" s="63">
        <v>1</v>
      </c>
      <c r="M43" s="142">
        <f t="shared" si="5"/>
        <v>0</v>
      </c>
      <c r="N43" s="52"/>
    </row>
    <row r="44" spans="1:14" ht="24">
      <c r="A44" s="50">
        <f aca="true" t="shared" si="6" ref="A44:A55">1+A43</f>
        <v>4</v>
      </c>
      <c r="B44" s="74" t="s">
        <v>361</v>
      </c>
      <c r="C44" s="3" t="s">
        <v>18</v>
      </c>
      <c r="D44" s="6">
        <v>5000</v>
      </c>
      <c r="E44" s="5"/>
      <c r="F44" s="63">
        <v>1</v>
      </c>
      <c r="G44" s="142">
        <f t="shared" si="1"/>
        <v>0</v>
      </c>
      <c r="H44" s="5">
        <f t="shared" si="2"/>
        <v>0</v>
      </c>
      <c r="I44" s="64">
        <v>1</v>
      </c>
      <c r="J44" s="142">
        <f t="shared" si="3"/>
        <v>0</v>
      </c>
      <c r="K44" s="5">
        <f t="shared" si="4"/>
        <v>0</v>
      </c>
      <c r="L44" s="63">
        <v>1</v>
      </c>
      <c r="M44" s="142">
        <f t="shared" si="5"/>
        <v>0</v>
      </c>
      <c r="N44" s="493"/>
    </row>
    <row r="45" spans="1:14" ht="36">
      <c r="A45" s="50">
        <f t="shared" si="6"/>
        <v>5</v>
      </c>
      <c r="B45" s="74" t="s">
        <v>356</v>
      </c>
      <c r="C45" s="3" t="s">
        <v>355</v>
      </c>
      <c r="D45" s="6">
        <v>43916</v>
      </c>
      <c r="E45" s="5">
        <v>43916</v>
      </c>
      <c r="F45" s="63">
        <v>1</v>
      </c>
      <c r="G45" s="142">
        <f t="shared" si="1"/>
        <v>43916</v>
      </c>
      <c r="H45" s="5">
        <f t="shared" si="2"/>
        <v>43916</v>
      </c>
      <c r="I45" s="64">
        <v>1</v>
      </c>
      <c r="J45" s="142">
        <f t="shared" si="3"/>
        <v>43916</v>
      </c>
      <c r="K45" s="5">
        <f t="shared" si="4"/>
        <v>43916</v>
      </c>
      <c r="L45" s="63">
        <v>1</v>
      </c>
      <c r="M45" s="142">
        <f t="shared" si="5"/>
        <v>43916</v>
      </c>
      <c r="N45" s="493" t="s">
        <v>518</v>
      </c>
    </row>
    <row r="46" spans="1:14" ht="22.5">
      <c r="A46" s="50">
        <f t="shared" si="6"/>
        <v>6</v>
      </c>
      <c r="B46" s="74" t="s">
        <v>21</v>
      </c>
      <c r="C46" s="3" t="s">
        <v>22</v>
      </c>
      <c r="D46" s="6"/>
      <c r="E46" s="5"/>
      <c r="F46" s="63">
        <v>1</v>
      </c>
      <c r="G46" s="142">
        <f t="shared" si="1"/>
        <v>0</v>
      </c>
      <c r="H46" s="5">
        <f t="shared" si="2"/>
        <v>0</v>
      </c>
      <c r="I46" s="64">
        <v>1</v>
      </c>
      <c r="J46" s="142">
        <f t="shared" si="3"/>
        <v>0</v>
      </c>
      <c r="K46" s="5">
        <f t="shared" si="4"/>
        <v>0</v>
      </c>
      <c r="L46" s="63">
        <v>1</v>
      </c>
      <c r="M46" s="142">
        <f t="shared" si="5"/>
        <v>0</v>
      </c>
      <c r="N46" s="52"/>
    </row>
    <row r="47" spans="1:14" ht="22.5">
      <c r="A47" s="50">
        <f t="shared" si="6"/>
        <v>7</v>
      </c>
      <c r="B47" s="74" t="s">
        <v>23</v>
      </c>
      <c r="C47" s="3" t="s">
        <v>22</v>
      </c>
      <c r="D47" s="6"/>
      <c r="E47" s="5"/>
      <c r="F47" s="63">
        <v>1</v>
      </c>
      <c r="G47" s="142">
        <f t="shared" si="1"/>
        <v>0</v>
      </c>
      <c r="H47" s="5">
        <f t="shared" si="2"/>
        <v>0</v>
      </c>
      <c r="I47" s="64">
        <v>1</v>
      </c>
      <c r="J47" s="142">
        <f t="shared" si="3"/>
        <v>0</v>
      </c>
      <c r="K47" s="5">
        <f t="shared" si="4"/>
        <v>0</v>
      </c>
      <c r="L47" s="63">
        <v>1</v>
      </c>
      <c r="M47" s="142">
        <f t="shared" si="5"/>
        <v>0</v>
      </c>
      <c r="N47" s="52"/>
    </row>
    <row r="48" spans="1:14" ht="24" hidden="1">
      <c r="A48" s="50">
        <f t="shared" si="6"/>
        <v>8</v>
      </c>
      <c r="B48" s="74" t="s">
        <v>24</v>
      </c>
      <c r="C48" s="3" t="s">
        <v>22</v>
      </c>
      <c r="D48" s="6"/>
      <c r="E48" s="5"/>
      <c r="F48" s="63">
        <v>1</v>
      </c>
      <c r="G48" s="142">
        <f t="shared" si="1"/>
        <v>0</v>
      </c>
      <c r="H48" s="5">
        <f t="shared" si="2"/>
        <v>0</v>
      </c>
      <c r="I48" s="64">
        <v>1</v>
      </c>
      <c r="J48" s="142">
        <f t="shared" si="3"/>
        <v>0</v>
      </c>
      <c r="K48" s="5">
        <f t="shared" si="4"/>
        <v>0</v>
      </c>
      <c r="L48" s="63">
        <v>1</v>
      </c>
      <c r="M48" s="142">
        <f t="shared" si="5"/>
        <v>0</v>
      </c>
      <c r="N48" s="52"/>
    </row>
    <row r="49" spans="1:14" ht="22.5" hidden="1">
      <c r="A49" s="50">
        <f t="shared" si="6"/>
        <v>9</v>
      </c>
      <c r="B49" s="74" t="s">
        <v>369</v>
      </c>
      <c r="C49" s="3" t="s">
        <v>25</v>
      </c>
      <c r="D49" s="6"/>
      <c r="E49" s="5"/>
      <c r="F49" s="63">
        <v>1</v>
      </c>
      <c r="G49" s="142">
        <f t="shared" si="1"/>
        <v>0</v>
      </c>
      <c r="H49" s="5">
        <f t="shared" si="2"/>
        <v>0</v>
      </c>
      <c r="I49" s="64">
        <v>1</v>
      </c>
      <c r="J49" s="142">
        <f t="shared" si="3"/>
        <v>0</v>
      </c>
      <c r="K49" s="5">
        <f t="shared" si="4"/>
        <v>0</v>
      </c>
      <c r="L49" s="63">
        <v>1</v>
      </c>
      <c r="M49" s="142">
        <f t="shared" si="5"/>
        <v>0</v>
      </c>
      <c r="N49" s="52"/>
    </row>
    <row r="50" spans="1:14" ht="22.5" hidden="1">
      <c r="A50" s="50">
        <f t="shared" si="6"/>
        <v>10</v>
      </c>
      <c r="B50" s="74" t="s">
        <v>28</v>
      </c>
      <c r="C50" s="3" t="s">
        <v>29</v>
      </c>
      <c r="D50" s="6"/>
      <c r="E50" s="5"/>
      <c r="F50" s="63">
        <v>1</v>
      </c>
      <c r="G50" s="142">
        <f t="shared" si="1"/>
        <v>0</v>
      </c>
      <c r="H50" s="5">
        <f t="shared" si="2"/>
        <v>0</v>
      </c>
      <c r="I50" s="64">
        <v>1</v>
      </c>
      <c r="J50" s="142">
        <f t="shared" si="3"/>
        <v>0</v>
      </c>
      <c r="K50" s="5">
        <f t="shared" si="4"/>
        <v>0</v>
      </c>
      <c r="L50" s="63">
        <v>1</v>
      </c>
      <c r="M50" s="142">
        <f t="shared" si="5"/>
        <v>0</v>
      </c>
      <c r="N50" s="52"/>
    </row>
    <row r="51" spans="1:14" ht="24" hidden="1">
      <c r="A51" s="50">
        <f t="shared" si="6"/>
        <v>11</v>
      </c>
      <c r="B51" s="74" t="s">
        <v>354</v>
      </c>
      <c r="C51" s="3" t="s">
        <v>29</v>
      </c>
      <c r="D51" s="6"/>
      <c r="E51" s="5"/>
      <c r="F51" s="63">
        <v>1</v>
      </c>
      <c r="G51" s="142">
        <f t="shared" si="1"/>
        <v>0</v>
      </c>
      <c r="H51" s="5">
        <f t="shared" si="2"/>
        <v>0</v>
      </c>
      <c r="I51" s="64">
        <v>1</v>
      </c>
      <c r="J51" s="142">
        <f t="shared" si="3"/>
        <v>0</v>
      </c>
      <c r="K51" s="5">
        <f t="shared" si="4"/>
        <v>0</v>
      </c>
      <c r="L51" s="63">
        <v>1</v>
      </c>
      <c r="M51" s="142">
        <f t="shared" si="5"/>
        <v>0</v>
      </c>
      <c r="N51" s="52"/>
    </row>
    <row r="52" spans="1:14" ht="24" hidden="1">
      <c r="A52" s="50">
        <f t="shared" si="6"/>
        <v>12</v>
      </c>
      <c r="B52" s="74" t="s">
        <v>30</v>
      </c>
      <c r="C52" s="3" t="s">
        <v>243</v>
      </c>
      <c r="D52" s="6"/>
      <c r="E52" s="5"/>
      <c r="F52" s="63">
        <v>1</v>
      </c>
      <c r="G52" s="142">
        <f t="shared" si="1"/>
        <v>0</v>
      </c>
      <c r="H52" s="5">
        <f t="shared" si="2"/>
        <v>0</v>
      </c>
      <c r="I52" s="64">
        <v>1</v>
      </c>
      <c r="J52" s="142">
        <f t="shared" si="3"/>
        <v>0</v>
      </c>
      <c r="K52" s="5">
        <f t="shared" si="4"/>
        <v>0</v>
      </c>
      <c r="L52" s="63">
        <v>1</v>
      </c>
      <c r="M52" s="142">
        <f t="shared" si="5"/>
        <v>0</v>
      </c>
      <c r="N52" s="52"/>
    </row>
    <row r="53" spans="1:14" ht="24" hidden="1">
      <c r="A53" s="50">
        <f t="shared" si="6"/>
        <v>13</v>
      </c>
      <c r="B53" s="75" t="s">
        <v>362</v>
      </c>
      <c r="C53" s="3" t="s">
        <v>317</v>
      </c>
      <c r="D53" s="6"/>
      <c r="E53" s="5"/>
      <c r="F53" s="63">
        <v>1</v>
      </c>
      <c r="G53" s="142">
        <f t="shared" si="1"/>
        <v>0</v>
      </c>
      <c r="H53" s="5">
        <f t="shared" si="2"/>
        <v>0</v>
      </c>
      <c r="I53" s="64">
        <v>1</v>
      </c>
      <c r="J53" s="142">
        <f t="shared" si="3"/>
        <v>0</v>
      </c>
      <c r="K53" s="5">
        <f t="shared" si="4"/>
        <v>0</v>
      </c>
      <c r="L53" s="63">
        <v>1</v>
      </c>
      <c r="M53" s="142">
        <f t="shared" si="5"/>
        <v>0</v>
      </c>
      <c r="N53" s="52"/>
    </row>
    <row r="54" spans="1:14" ht="24" hidden="1">
      <c r="A54" s="50">
        <f t="shared" si="6"/>
        <v>14</v>
      </c>
      <c r="B54" s="75" t="s">
        <v>363</v>
      </c>
      <c r="C54" s="3" t="s">
        <v>317</v>
      </c>
      <c r="D54" s="6"/>
      <c r="E54" s="5"/>
      <c r="F54" s="63">
        <v>1</v>
      </c>
      <c r="G54" s="142">
        <f t="shared" si="1"/>
        <v>0</v>
      </c>
      <c r="H54" s="5">
        <f t="shared" si="2"/>
        <v>0</v>
      </c>
      <c r="I54" s="64">
        <v>1</v>
      </c>
      <c r="J54" s="142">
        <f t="shared" si="3"/>
        <v>0</v>
      </c>
      <c r="K54" s="5">
        <f t="shared" si="4"/>
        <v>0</v>
      </c>
      <c r="L54" s="63">
        <v>1</v>
      </c>
      <c r="M54" s="142">
        <f t="shared" si="5"/>
        <v>0</v>
      </c>
      <c r="N54" s="52"/>
    </row>
    <row r="55" spans="1:14" ht="45" hidden="1">
      <c r="A55" s="50">
        <f t="shared" si="6"/>
        <v>15</v>
      </c>
      <c r="B55" s="75" t="s">
        <v>248</v>
      </c>
      <c r="C55" s="2" t="s">
        <v>335</v>
      </c>
      <c r="D55" s="27"/>
      <c r="E55" s="5"/>
      <c r="F55" s="63">
        <v>1</v>
      </c>
      <c r="G55" s="142">
        <f t="shared" si="1"/>
        <v>0</v>
      </c>
      <c r="H55" s="5">
        <f t="shared" si="2"/>
        <v>0</v>
      </c>
      <c r="I55" s="64">
        <v>1</v>
      </c>
      <c r="J55" s="142">
        <f t="shared" si="3"/>
        <v>0</v>
      </c>
      <c r="K55" s="5">
        <f t="shared" si="4"/>
        <v>0</v>
      </c>
      <c r="L55" s="63">
        <v>1</v>
      </c>
      <c r="M55" s="142">
        <f t="shared" si="5"/>
        <v>0</v>
      </c>
      <c r="N55" s="54"/>
    </row>
    <row r="56" spans="1:36" s="10" customFormat="1" ht="12">
      <c r="A56" s="33"/>
      <c r="B56" s="79" t="s">
        <v>144</v>
      </c>
      <c r="C56" s="69"/>
      <c r="D56" s="15">
        <f>ROUNDDOWN(SUM(D36:D55),2)</f>
        <v>48916</v>
      </c>
      <c r="E56" s="15">
        <f aca="true" t="shared" si="7" ref="E56:K56">ROUNDDOWN(SUM(E36:E55),2)</f>
        <v>43916</v>
      </c>
      <c r="F56" s="15"/>
      <c r="G56" s="15">
        <f>ROUNDDOWN(SUM(G36:G55),0)</f>
        <v>43916</v>
      </c>
      <c r="H56" s="15">
        <f t="shared" si="7"/>
        <v>43916</v>
      </c>
      <c r="I56" s="15"/>
      <c r="J56" s="15">
        <f>ROUNDDOWN(SUM(J36:J55),0)</f>
        <v>43916</v>
      </c>
      <c r="K56" s="15">
        <f t="shared" si="7"/>
        <v>43916</v>
      </c>
      <c r="L56" s="15"/>
      <c r="M56" s="15">
        <f>ROUNDDOWN(SUM(M36:M55),0)</f>
        <v>43916</v>
      </c>
      <c r="N56" s="56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</row>
    <row r="57" spans="1:14" ht="12">
      <c r="A57" s="144" t="s">
        <v>31</v>
      </c>
      <c r="B57" s="145"/>
      <c r="C57" s="146"/>
      <c r="D57" s="147"/>
      <c r="E57" s="148"/>
      <c r="F57" s="149"/>
      <c r="G57" s="150"/>
      <c r="H57" s="148"/>
      <c r="I57" s="149"/>
      <c r="J57" s="150"/>
      <c r="K57" s="148"/>
      <c r="L57" s="149"/>
      <c r="M57" s="150"/>
      <c r="N57" s="151"/>
    </row>
    <row r="58" spans="1:14" ht="39" customHeight="1" hidden="1">
      <c r="A58" s="50">
        <v>1</v>
      </c>
      <c r="B58" s="74" t="s">
        <v>460</v>
      </c>
      <c r="C58" s="3" t="s">
        <v>285</v>
      </c>
      <c r="D58" s="6"/>
      <c r="E58" s="5"/>
      <c r="F58" s="63">
        <v>1</v>
      </c>
      <c r="G58" s="142">
        <f>ROUND(E58*F58,0)</f>
        <v>0</v>
      </c>
      <c r="H58" s="5">
        <f>G58</f>
        <v>0</v>
      </c>
      <c r="I58" s="63">
        <v>1</v>
      </c>
      <c r="J58" s="142">
        <f>ROUND(H58*I58,0)</f>
        <v>0</v>
      </c>
      <c r="K58" s="5">
        <f>J58</f>
        <v>0</v>
      </c>
      <c r="L58" s="63">
        <v>1</v>
      </c>
      <c r="M58" s="142">
        <f>ROUND(K58*L58,0)</f>
        <v>0</v>
      </c>
      <c r="N58" s="52"/>
    </row>
    <row r="59" spans="1:14" ht="12">
      <c r="A59" s="50">
        <v>2</v>
      </c>
      <c r="B59" s="78" t="s">
        <v>336</v>
      </c>
      <c r="C59" s="31"/>
      <c r="D59" s="32"/>
      <c r="E59" s="5"/>
      <c r="F59" s="63"/>
      <c r="G59" s="142"/>
      <c r="H59" s="164"/>
      <c r="I59" s="141"/>
      <c r="J59" s="142"/>
      <c r="K59" s="164"/>
      <c r="L59" s="165"/>
      <c r="M59" s="142"/>
      <c r="N59" s="55"/>
    </row>
    <row r="60" spans="1:14" ht="24" hidden="1">
      <c r="A60" s="72"/>
      <c r="B60" s="137" t="s">
        <v>392</v>
      </c>
      <c r="C60" s="162" t="s">
        <v>33</v>
      </c>
      <c r="D60" s="163"/>
      <c r="E60" s="164"/>
      <c r="F60" s="63">
        <v>1</v>
      </c>
      <c r="G60" s="142">
        <f aca="true" t="shared" si="8" ref="G60:G66">ROUND(E60*F60,0)</f>
        <v>0</v>
      </c>
      <c r="H60" s="164">
        <f aca="true" t="shared" si="9" ref="H60:H66">G60</f>
        <v>0</v>
      </c>
      <c r="I60" s="141">
        <v>1</v>
      </c>
      <c r="J60" s="142">
        <f aca="true" t="shared" si="10" ref="J60:J66">ROUND(H60*I60,0)</f>
        <v>0</v>
      </c>
      <c r="K60" s="164">
        <f>J60</f>
        <v>0</v>
      </c>
      <c r="L60" s="165">
        <v>1</v>
      </c>
      <c r="M60" s="142">
        <f aca="true" t="shared" si="11" ref="M60:M66">ROUND(K60*L60,0)</f>
        <v>0</v>
      </c>
      <c r="N60" s="166"/>
    </row>
    <row r="61" spans="1:14" ht="22.5" hidden="1">
      <c r="A61" s="73"/>
      <c r="B61" s="75" t="s">
        <v>253</v>
      </c>
      <c r="C61" s="3" t="s">
        <v>33</v>
      </c>
      <c r="D61" s="6"/>
      <c r="E61" s="5"/>
      <c r="F61" s="63">
        <v>1</v>
      </c>
      <c r="G61" s="142">
        <f t="shared" si="8"/>
        <v>0</v>
      </c>
      <c r="H61" s="5">
        <f t="shared" si="9"/>
        <v>0</v>
      </c>
      <c r="I61" s="64">
        <v>1</v>
      </c>
      <c r="J61" s="142">
        <f t="shared" si="10"/>
        <v>0</v>
      </c>
      <c r="K61" s="5">
        <f aca="true" t="shared" si="12" ref="K61:K66">J61</f>
        <v>0</v>
      </c>
      <c r="L61" s="63">
        <v>1</v>
      </c>
      <c r="M61" s="142">
        <f t="shared" si="11"/>
        <v>0</v>
      </c>
      <c r="N61" s="52"/>
    </row>
    <row r="62" spans="1:14" ht="36" hidden="1">
      <c r="A62" s="71">
        <v>3</v>
      </c>
      <c r="B62" s="75" t="s">
        <v>393</v>
      </c>
      <c r="C62" s="3" t="s">
        <v>243</v>
      </c>
      <c r="D62" s="6"/>
      <c r="E62" s="5"/>
      <c r="F62" s="63">
        <v>1</v>
      </c>
      <c r="G62" s="142">
        <f t="shared" si="8"/>
        <v>0</v>
      </c>
      <c r="H62" s="5">
        <f t="shared" si="9"/>
        <v>0</v>
      </c>
      <c r="I62" s="64">
        <v>1</v>
      </c>
      <c r="J62" s="142">
        <f t="shared" si="10"/>
        <v>0</v>
      </c>
      <c r="K62" s="5">
        <f t="shared" si="12"/>
        <v>0</v>
      </c>
      <c r="L62" s="63">
        <v>1</v>
      </c>
      <c r="M62" s="142">
        <f t="shared" si="11"/>
        <v>0</v>
      </c>
      <c r="N62" s="52"/>
    </row>
    <row r="63" spans="1:14" ht="48" hidden="1">
      <c r="A63" s="71">
        <v>4</v>
      </c>
      <c r="B63" s="75" t="s">
        <v>287</v>
      </c>
      <c r="C63" s="3" t="s">
        <v>60</v>
      </c>
      <c r="D63" s="6"/>
      <c r="E63" s="5"/>
      <c r="F63" s="63">
        <v>1</v>
      </c>
      <c r="G63" s="142">
        <f t="shared" si="8"/>
        <v>0</v>
      </c>
      <c r="H63" s="5">
        <f t="shared" si="9"/>
        <v>0</v>
      </c>
      <c r="I63" s="64">
        <v>1</v>
      </c>
      <c r="J63" s="142">
        <f t="shared" si="10"/>
        <v>0</v>
      </c>
      <c r="K63" s="5">
        <f t="shared" si="12"/>
        <v>0</v>
      </c>
      <c r="L63" s="63">
        <v>1</v>
      </c>
      <c r="M63" s="142">
        <f t="shared" si="11"/>
        <v>0</v>
      </c>
      <c r="N63" s="52"/>
    </row>
    <row r="64" spans="1:14" ht="24" hidden="1">
      <c r="A64" s="50">
        <v>5</v>
      </c>
      <c r="B64" s="75" t="s">
        <v>388</v>
      </c>
      <c r="C64" s="4" t="s">
        <v>156</v>
      </c>
      <c r="D64" s="36"/>
      <c r="E64" s="5"/>
      <c r="F64" s="63">
        <v>1</v>
      </c>
      <c r="G64" s="142">
        <f t="shared" si="8"/>
        <v>0</v>
      </c>
      <c r="H64" s="5">
        <f t="shared" si="9"/>
        <v>0</v>
      </c>
      <c r="I64" s="64">
        <v>1</v>
      </c>
      <c r="J64" s="142">
        <f t="shared" si="10"/>
        <v>0</v>
      </c>
      <c r="K64" s="5">
        <f t="shared" si="12"/>
        <v>0</v>
      </c>
      <c r="L64" s="63">
        <v>1</v>
      </c>
      <c r="M64" s="142">
        <f t="shared" si="11"/>
        <v>0</v>
      </c>
      <c r="N64" s="57"/>
    </row>
    <row r="65" spans="1:14" ht="36">
      <c r="A65" s="71">
        <v>6</v>
      </c>
      <c r="B65" s="75" t="s">
        <v>480</v>
      </c>
      <c r="C65" s="4" t="s">
        <v>390</v>
      </c>
      <c r="D65" s="92"/>
      <c r="E65" s="5">
        <v>0</v>
      </c>
      <c r="F65" s="63">
        <v>1</v>
      </c>
      <c r="G65" s="142">
        <f t="shared" si="8"/>
        <v>0</v>
      </c>
      <c r="H65" s="5">
        <f t="shared" si="9"/>
        <v>0</v>
      </c>
      <c r="I65" s="64">
        <v>1</v>
      </c>
      <c r="J65" s="142">
        <f t="shared" si="10"/>
        <v>0</v>
      </c>
      <c r="K65" s="5">
        <f t="shared" si="12"/>
        <v>0</v>
      </c>
      <c r="L65" s="63">
        <v>1</v>
      </c>
      <c r="M65" s="142">
        <f t="shared" si="11"/>
        <v>0</v>
      </c>
      <c r="N65" s="93">
        <v>0</v>
      </c>
    </row>
    <row r="66" spans="1:14" ht="45" hidden="1">
      <c r="A66" s="71">
        <v>8</v>
      </c>
      <c r="B66" s="75" t="s">
        <v>248</v>
      </c>
      <c r="C66" s="2" t="s">
        <v>335</v>
      </c>
      <c r="D66" s="27"/>
      <c r="E66" s="5"/>
      <c r="F66" s="63">
        <v>1</v>
      </c>
      <c r="G66" s="142">
        <f t="shared" si="8"/>
        <v>0</v>
      </c>
      <c r="H66" s="5">
        <f t="shared" si="9"/>
        <v>0</v>
      </c>
      <c r="I66" s="64">
        <v>1</v>
      </c>
      <c r="J66" s="142">
        <f t="shared" si="10"/>
        <v>0</v>
      </c>
      <c r="K66" s="5">
        <f t="shared" si="12"/>
        <v>0</v>
      </c>
      <c r="L66" s="63">
        <v>1</v>
      </c>
      <c r="M66" s="142">
        <f t="shared" si="11"/>
        <v>0</v>
      </c>
      <c r="N66" s="54"/>
    </row>
    <row r="67" spans="1:36" s="10" customFormat="1" ht="12">
      <c r="A67" s="33"/>
      <c r="B67" s="79" t="s">
        <v>145</v>
      </c>
      <c r="C67" s="69"/>
      <c r="D67" s="15">
        <f>ROUND(SUM(D58:D66),2)</f>
        <v>0</v>
      </c>
      <c r="E67" s="15">
        <f>ROUND(SUM(E58:E66),2)</f>
        <v>0</v>
      </c>
      <c r="F67" s="15"/>
      <c r="G67" s="15">
        <f>ROUND(SUM(G58:G66),0)</f>
        <v>0</v>
      </c>
      <c r="H67" s="15">
        <f>ROUND(SUM(H58:H66),2)</f>
        <v>0</v>
      </c>
      <c r="I67" s="15"/>
      <c r="J67" s="15">
        <f>ROUND(SUM(J58:J66),0)</f>
        <v>0</v>
      </c>
      <c r="K67" s="15">
        <f>ROUND(SUM(K58:K66),2)</f>
        <v>0</v>
      </c>
      <c r="L67" s="15"/>
      <c r="M67" s="15">
        <f>ROUND(SUM(M58:M66),0)</f>
        <v>0</v>
      </c>
      <c r="N67" s="56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</row>
    <row r="68" spans="1:14" ht="12">
      <c r="A68" s="84" t="s">
        <v>34</v>
      </c>
      <c r="B68" s="85"/>
      <c r="C68" s="86"/>
      <c r="D68" s="87"/>
      <c r="E68" s="88"/>
      <c r="F68" s="89"/>
      <c r="G68" s="90"/>
      <c r="H68" s="88"/>
      <c r="I68" s="89"/>
      <c r="J68" s="90"/>
      <c r="K68" s="88"/>
      <c r="L68" s="89"/>
      <c r="M68" s="90"/>
      <c r="N68" s="91"/>
    </row>
    <row r="69" spans="1:15" ht="22.5">
      <c r="A69" s="73">
        <v>1</v>
      </c>
      <c r="B69" s="196" t="s">
        <v>35</v>
      </c>
      <c r="C69" s="162" t="s">
        <v>37</v>
      </c>
      <c r="D69" s="163">
        <v>803050.88</v>
      </c>
      <c r="E69" s="164">
        <v>803075.78</v>
      </c>
      <c r="F69" s="165">
        <v>1</v>
      </c>
      <c r="G69" s="142">
        <f aca="true" t="shared" si="13" ref="G69:G74">ROUND(E69*F69,0)</f>
        <v>803076</v>
      </c>
      <c r="H69" s="164">
        <f aca="true" t="shared" si="14" ref="H69:H74">G69</f>
        <v>803076</v>
      </c>
      <c r="I69" s="141">
        <v>1</v>
      </c>
      <c r="J69" s="142">
        <f aca="true" t="shared" si="15" ref="J69:J74">ROUND(H69*I69,0)</f>
        <v>803076</v>
      </c>
      <c r="K69" s="164">
        <f aca="true" t="shared" si="16" ref="K69:K74">J69</f>
        <v>803076</v>
      </c>
      <c r="L69" s="165">
        <v>1</v>
      </c>
      <c r="M69" s="142">
        <f aca="true" t="shared" si="17" ref="M69:M74">ROUND(K69*L69,0)</f>
        <v>803076</v>
      </c>
      <c r="N69" s="166" t="s">
        <v>886</v>
      </c>
      <c r="O69" s="12" t="s">
        <v>533</v>
      </c>
    </row>
    <row r="70" spans="1:14" ht="22.5">
      <c r="A70" s="50">
        <v>2</v>
      </c>
      <c r="B70" s="74" t="s">
        <v>36</v>
      </c>
      <c r="C70" s="3" t="s">
        <v>38</v>
      </c>
      <c r="D70" s="6">
        <v>52694.92</v>
      </c>
      <c r="E70" s="5">
        <v>52670.02</v>
      </c>
      <c r="F70" s="165">
        <v>1</v>
      </c>
      <c r="G70" s="142">
        <f t="shared" si="13"/>
        <v>52670</v>
      </c>
      <c r="H70" s="5">
        <f t="shared" si="14"/>
        <v>52670</v>
      </c>
      <c r="I70" s="64">
        <v>1</v>
      </c>
      <c r="J70" s="142">
        <f t="shared" si="15"/>
        <v>52670</v>
      </c>
      <c r="K70" s="5">
        <f t="shared" si="16"/>
        <v>52670</v>
      </c>
      <c r="L70" s="63">
        <v>1</v>
      </c>
      <c r="M70" s="142">
        <f t="shared" si="17"/>
        <v>52670</v>
      </c>
      <c r="N70" s="166" t="s">
        <v>887</v>
      </c>
    </row>
    <row r="71" spans="1:14" ht="12">
      <c r="A71" s="50">
        <v>3</v>
      </c>
      <c r="B71" s="74" t="s">
        <v>39</v>
      </c>
      <c r="C71" s="3" t="s">
        <v>455</v>
      </c>
      <c r="D71" s="6">
        <v>402009</v>
      </c>
      <c r="E71" s="5">
        <v>402009</v>
      </c>
      <c r="F71" s="165">
        <v>1</v>
      </c>
      <c r="G71" s="142">
        <f t="shared" si="13"/>
        <v>402009</v>
      </c>
      <c r="H71" s="5">
        <f t="shared" si="14"/>
        <v>402009</v>
      </c>
      <c r="I71" s="64">
        <v>1</v>
      </c>
      <c r="J71" s="142">
        <f t="shared" si="15"/>
        <v>402009</v>
      </c>
      <c r="K71" s="5">
        <f t="shared" si="16"/>
        <v>402009</v>
      </c>
      <c r="L71" s="63">
        <v>1</v>
      </c>
      <c r="M71" s="142">
        <f t="shared" si="17"/>
        <v>402009</v>
      </c>
      <c r="N71" s="166" t="s">
        <v>512</v>
      </c>
    </row>
    <row r="72" spans="1:14" ht="22.5">
      <c r="A72" s="50">
        <v>4</v>
      </c>
      <c r="B72" s="74" t="s">
        <v>40</v>
      </c>
      <c r="C72" s="3" t="s">
        <v>41</v>
      </c>
      <c r="D72" s="6">
        <v>33058.81</v>
      </c>
      <c r="E72" s="5">
        <v>33058.81</v>
      </c>
      <c r="F72" s="165">
        <v>1</v>
      </c>
      <c r="G72" s="142">
        <f t="shared" si="13"/>
        <v>33059</v>
      </c>
      <c r="H72" s="5">
        <f t="shared" si="14"/>
        <v>33059</v>
      </c>
      <c r="I72" s="64">
        <v>1</v>
      </c>
      <c r="J72" s="142">
        <f t="shared" si="15"/>
        <v>33059</v>
      </c>
      <c r="K72" s="5">
        <f t="shared" si="16"/>
        <v>33059</v>
      </c>
      <c r="L72" s="63">
        <v>1</v>
      </c>
      <c r="M72" s="142">
        <f t="shared" si="17"/>
        <v>33059</v>
      </c>
      <c r="N72" s="166" t="s">
        <v>888</v>
      </c>
    </row>
    <row r="73" spans="1:14" ht="22.5">
      <c r="A73" s="50">
        <v>5</v>
      </c>
      <c r="B73" s="74" t="s">
        <v>42</v>
      </c>
      <c r="C73" s="3" t="s">
        <v>41</v>
      </c>
      <c r="D73" s="6">
        <v>61194.39</v>
      </c>
      <c r="E73" s="5">
        <v>61194.39</v>
      </c>
      <c r="F73" s="165">
        <v>1</v>
      </c>
      <c r="G73" s="142">
        <f t="shared" si="13"/>
        <v>61194</v>
      </c>
      <c r="H73" s="5">
        <f t="shared" si="14"/>
        <v>61194</v>
      </c>
      <c r="I73" s="64">
        <v>1</v>
      </c>
      <c r="J73" s="142">
        <f t="shared" si="15"/>
        <v>61194</v>
      </c>
      <c r="K73" s="5">
        <f t="shared" si="16"/>
        <v>61194</v>
      </c>
      <c r="L73" s="63">
        <v>1</v>
      </c>
      <c r="M73" s="142">
        <f t="shared" si="17"/>
        <v>61194</v>
      </c>
      <c r="N73" s="166" t="s">
        <v>889</v>
      </c>
    </row>
    <row r="74" spans="1:14" ht="12" hidden="1">
      <c r="A74" s="71">
        <v>6</v>
      </c>
      <c r="B74" s="75" t="s">
        <v>43</v>
      </c>
      <c r="C74" s="2" t="s">
        <v>41</v>
      </c>
      <c r="D74" s="25"/>
      <c r="E74" s="5"/>
      <c r="F74" s="165">
        <v>1</v>
      </c>
      <c r="G74" s="142">
        <f t="shared" si="13"/>
        <v>0</v>
      </c>
      <c r="H74" s="5">
        <f t="shared" si="14"/>
        <v>0</v>
      </c>
      <c r="I74" s="64">
        <v>1</v>
      </c>
      <c r="J74" s="142">
        <f t="shared" si="15"/>
        <v>0</v>
      </c>
      <c r="K74" s="5">
        <f t="shared" si="16"/>
        <v>0</v>
      </c>
      <c r="L74" s="63">
        <v>1</v>
      </c>
      <c r="M74" s="142">
        <f t="shared" si="17"/>
        <v>0</v>
      </c>
      <c r="N74" s="53"/>
    </row>
    <row r="75" spans="1:36" s="10" customFormat="1" ht="12">
      <c r="A75" s="33"/>
      <c r="B75" s="79" t="s">
        <v>146</v>
      </c>
      <c r="C75" s="69"/>
      <c r="D75" s="15">
        <f>ROUNDDOWN(SUM(D69:D74),2)</f>
        <v>1352008</v>
      </c>
      <c r="E75" s="15">
        <f aca="true" t="shared" si="18" ref="E75:K75">ROUNDDOWN(SUM(E69:E74),2)</f>
        <v>1352008</v>
      </c>
      <c r="F75" s="15"/>
      <c r="G75" s="15">
        <f t="shared" si="18"/>
        <v>1352008</v>
      </c>
      <c r="H75" s="15">
        <f t="shared" si="18"/>
        <v>1352008</v>
      </c>
      <c r="I75" s="15"/>
      <c r="J75" s="15">
        <f>ROUNDDOWN(SUM(J69:J74),2)</f>
        <v>1352008</v>
      </c>
      <c r="K75" s="15">
        <f t="shared" si="18"/>
        <v>1352008</v>
      </c>
      <c r="L75" s="15"/>
      <c r="M75" s="15">
        <f>ROUNDDOWN(SUM(M69:M74),2)</f>
        <v>1352008</v>
      </c>
      <c r="N75" s="56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</row>
    <row r="76" spans="1:14" ht="12">
      <c r="A76" s="84" t="s">
        <v>44</v>
      </c>
      <c r="B76" s="85"/>
      <c r="C76" s="86"/>
      <c r="D76" s="87"/>
      <c r="E76" s="88"/>
      <c r="F76" s="89"/>
      <c r="G76" s="90"/>
      <c r="H76" s="88"/>
      <c r="I76" s="89"/>
      <c r="J76" s="90"/>
      <c r="K76" s="88"/>
      <c r="L76" s="89"/>
      <c r="M76" s="90"/>
      <c r="N76" s="91"/>
    </row>
    <row r="77" spans="1:14" ht="22.5" hidden="1">
      <c r="A77" s="73">
        <v>1</v>
      </c>
      <c r="B77" s="223" t="s">
        <v>237</v>
      </c>
      <c r="C77" s="162" t="s">
        <v>238</v>
      </c>
      <c r="D77" s="163"/>
      <c r="E77" s="164"/>
      <c r="F77" s="165">
        <v>1</v>
      </c>
      <c r="G77" s="142">
        <f>ROUND(E77*F77,0)</f>
        <v>0</v>
      </c>
      <c r="H77" s="164">
        <f>G77</f>
        <v>0</v>
      </c>
      <c r="I77" s="141">
        <v>1</v>
      </c>
      <c r="J77" s="142">
        <f>ROUND(H77*I77,0)</f>
        <v>0</v>
      </c>
      <c r="K77" s="164">
        <f>J77</f>
        <v>0</v>
      </c>
      <c r="L77" s="165">
        <v>1</v>
      </c>
      <c r="M77" s="142">
        <f>ROUND(K77*L77,0)</f>
        <v>0</v>
      </c>
      <c r="N77" s="166"/>
    </row>
    <row r="78" spans="1:14" ht="22.5" hidden="1">
      <c r="A78" s="50">
        <v>2</v>
      </c>
      <c r="B78" s="74" t="s">
        <v>148</v>
      </c>
      <c r="C78" s="3" t="s">
        <v>45</v>
      </c>
      <c r="D78" s="6"/>
      <c r="E78" s="5"/>
      <c r="F78" s="165">
        <v>1</v>
      </c>
      <c r="G78" s="142">
        <f>ROUND(E78*F78,0)</f>
        <v>0</v>
      </c>
      <c r="H78" s="5">
        <f>G78</f>
        <v>0</v>
      </c>
      <c r="I78" s="64">
        <v>1</v>
      </c>
      <c r="J78" s="142">
        <f>ROUND(H78*I78,0)</f>
        <v>0</v>
      </c>
      <c r="K78" s="5">
        <f>J78</f>
        <v>0</v>
      </c>
      <c r="L78" s="63">
        <v>1</v>
      </c>
      <c r="M78" s="142">
        <f>ROUND(K78*L78,0)</f>
        <v>0</v>
      </c>
      <c r="N78" s="52"/>
    </row>
    <row r="79" spans="1:14" ht="22.5" hidden="1">
      <c r="A79" s="71">
        <v>3</v>
      </c>
      <c r="B79" s="80" t="s">
        <v>239</v>
      </c>
      <c r="C79" s="2" t="s">
        <v>238</v>
      </c>
      <c r="D79" s="25"/>
      <c r="E79" s="5"/>
      <c r="F79" s="165">
        <v>1</v>
      </c>
      <c r="G79" s="142">
        <f>ROUND(E79*F79,0)</f>
        <v>0</v>
      </c>
      <c r="H79" s="5">
        <f>G79</f>
        <v>0</v>
      </c>
      <c r="I79" s="64">
        <v>1</v>
      </c>
      <c r="J79" s="142">
        <f>ROUND(H79*I79,0)</f>
        <v>0</v>
      </c>
      <c r="K79" s="5">
        <f>J79</f>
        <v>0</v>
      </c>
      <c r="L79" s="63">
        <v>1</v>
      </c>
      <c r="M79" s="142">
        <f>ROUND(K79*L79,0)</f>
        <v>0</v>
      </c>
      <c r="N79" s="53"/>
    </row>
    <row r="80" spans="1:14" ht="22.5" hidden="1">
      <c r="A80" s="71">
        <v>4</v>
      </c>
      <c r="B80" s="80" t="s">
        <v>337</v>
      </c>
      <c r="C80" s="3" t="s">
        <v>33</v>
      </c>
      <c r="D80" s="25"/>
      <c r="E80" s="5"/>
      <c r="F80" s="165">
        <v>1</v>
      </c>
      <c r="G80" s="142">
        <f>ROUND(E80*F80,0)</f>
        <v>0</v>
      </c>
      <c r="H80" s="5">
        <f>G80</f>
        <v>0</v>
      </c>
      <c r="I80" s="64">
        <v>1</v>
      </c>
      <c r="J80" s="142">
        <f>ROUND(H80*I80,0)</f>
        <v>0</v>
      </c>
      <c r="K80" s="5">
        <f>J80</f>
        <v>0</v>
      </c>
      <c r="L80" s="63">
        <v>1</v>
      </c>
      <c r="M80" s="142">
        <f>ROUND(K80*L80,0)</f>
        <v>0</v>
      </c>
      <c r="N80" s="53"/>
    </row>
    <row r="81" spans="1:36" s="10" customFormat="1" ht="12">
      <c r="A81" s="33"/>
      <c r="B81" s="79" t="s">
        <v>149</v>
      </c>
      <c r="C81" s="69"/>
      <c r="D81" s="15">
        <f>ROUNDDOWN(SUM(D77:D80),2)</f>
        <v>0</v>
      </c>
      <c r="E81" s="15">
        <f aca="true" t="shared" si="19" ref="E81:K81">ROUNDDOWN(SUM(E77:E80),2)</f>
        <v>0</v>
      </c>
      <c r="F81" s="15"/>
      <c r="G81" s="15">
        <f>ROUNDDOWN(SUM(G77:G80),0)</f>
        <v>0</v>
      </c>
      <c r="H81" s="15">
        <f t="shared" si="19"/>
        <v>0</v>
      </c>
      <c r="I81" s="15"/>
      <c r="J81" s="15">
        <f>ROUNDDOWN(SUM(J77:J80),0)</f>
        <v>0</v>
      </c>
      <c r="K81" s="15">
        <f t="shared" si="19"/>
        <v>0</v>
      </c>
      <c r="L81" s="15"/>
      <c r="M81" s="15">
        <f>ROUNDDOWN(SUM(M77:M80),0)</f>
        <v>0</v>
      </c>
      <c r="N81" s="56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</row>
    <row r="82" spans="1:14" ht="12">
      <c r="A82" s="84" t="s">
        <v>383</v>
      </c>
      <c r="B82" s="85"/>
      <c r="C82" s="86"/>
      <c r="D82" s="87"/>
      <c r="E82" s="88"/>
      <c r="F82" s="89"/>
      <c r="G82" s="90"/>
      <c r="H82" s="88"/>
      <c r="I82" s="89"/>
      <c r="J82" s="90"/>
      <c r="K82" s="88"/>
      <c r="L82" s="89"/>
      <c r="M82" s="90"/>
      <c r="N82" s="91"/>
    </row>
    <row r="83" spans="1:15" ht="22.5">
      <c r="A83" s="73">
        <v>1</v>
      </c>
      <c r="B83" s="196" t="s">
        <v>351</v>
      </c>
      <c r="C83" s="162" t="s">
        <v>46</v>
      </c>
      <c r="D83" s="163">
        <v>30968.79</v>
      </c>
      <c r="E83" s="164">
        <v>30968.79</v>
      </c>
      <c r="F83" s="165">
        <v>1</v>
      </c>
      <c r="G83" s="142">
        <f>ROUND(E83*F83,0)</f>
        <v>30969</v>
      </c>
      <c r="H83" s="164">
        <f>G83</f>
        <v>30969</v>
      </c>
      <c r="I83" s="141">
        <v>1</v>
      </c>
      <c r="J83" s="142">
        <f>ROUND(H83*I83,0)</f>
        <v>30969</v>
      </c>
      <c r="K83" s="164">
        <f>J83</f>
        <v>30969</v>
      </c>
      <c r="L83" s="165">
        <v>1</v>
      </c>
      <c r="M83" s="142">
        <f>ROUND(K83*L83,0)</f>
        <v>30969</v>
      </c>
      <c r="N83" s="166" t="s">
        <v>513</v>
      </c>
      <c r="O83" s="12">
        <f>271.37*114.12017</f>
        <v>30968.790532900002</v>
      </c>
    </row>
    <row r="84" spans="1:14" ht="22.5" hidden="1">
      <c r="A84" s="50">
        <f aca="true" t="shared" si="20" ref="A84:A115">1+A83</f>
        <v>2</v>
      </c>
      <c r="B84" s="74" t="s">
        <v>47</v>
      </c>
      <c r="C84" s="3" t="s">
        <v>51</v>
      </c>
      <c r="D84" s="6"/>
      <c r="E84" s="5"/>
      <c r="F84" s="165">
        <v>1</v>
      </c>
      <c r="G84" s="142">
        <f aca="true" t="shared" si="21" ref="G84:G141">ROUND(E84*F84,0)</f>
        <v>0</v>
      </c>
      <c r="H84" s="5">
        <f aca="true" t="shared" si="22" ref="H84:H141">G84</f>
        <v>0</v>
      </c>
      <c r="I84" s="64">
        <v>1</v>
      </c>
      <c r="J84" s="142">
        <f aca="true" t="shared" si="23" ref="J84:J141">ROUND(H84*I84,0)</f>
        <v>0</v>
      </c>
      <c r="K84" s="5">
        <f aca="true" t="shared" si="24" ref="K84:K141">J84</f>
        <v>0</v>
      </c>
      <c r="L84" s="63">
        <v>1</v>
      </c>
      <c r="M84" s="142">
        <f aca="true" t="shared" si="25" ref="M84:M141">ROUND(K84*L84,0)</f>
        <v>0</v>
      </c>
      <c r="N84" s="52"/>
    </row>
    <row r="85" spans="1:15" ht="24">
      <c r="A85" s="50">
        <f t="shared" si="20"/>
        <v>3</v>
      </c>
      <c r="B85" s="74" t="s">
        <v>352</v>
      </c>
      <c r="C85" s="3" t="s">
        <v>18</v>
      </c>
      <c r="D85" s="6">
        <v>11289</v>
      </c>
      <c r="E85" s="5">
        <v>11289</v>
      </c>
      <c r="F85" s="165">
        <v>1</v>
      </c>
      <c r="G85" s="142">
        <f t="shared" si="21"/>
        <v>11289</v>
      </c>
      <c r="H85" s="5">
        <f t="shared" si="22"/>
        <v>11289</v>
      </c>
      <c r="I85" s="64">
        <v>1</v>
      </c>
      <c r="J85" s="142">
        <f t="shared" si="23"/>
        <v>11289</v>
      </c>
      <c r="K85" s="5">
        <f t="shared" si="24"/>
        <v>11289</v>
      </c>
      <c r="L85" s="63">
        <v>1</v>
      </c>
      <c r="M85" s="142">
        <f t="shared" si="25"/>
        <v>11289</v>
      </c>
      <c r="N85" s="52" t="s">
        <v>514</v>
      </c>
      <c r="O85" s="12">
        <f>940.75*12</f>
        <v>11289</v>
      </c>
    </row>
    <row r="86" spans="1:14" ht="22.5" hidden="1">
      <c r="A86" s="50">
        <f t="shared" si="20"/>
        <v>4</v>
      </c>
      <c r="B86" s="74" t="s">
        <v>48</v>
      </c>
      <c r="C86" s="3" t="s">
        <v>49</v>
      </c>
      <c r="D86" s="6"/>
      <c r="E86" s="5"/>
      <c r="F86" s="165">
        <v>1</v>
      </c>
      <c r="G86" s="142">
        <f t="shared" si="21"/>
        <v>0</v>
      </c>
      <c r="H86" s="5">
        <f t="shared" si="22"/>
        <v>0</v>
      </c>
      <c r="I86" s="64">
        <v>1</v>
      </c>
      <c r="J86" s="142">
        <f t="shared" si="23"/>
        <v>0</v>
      </c>
      <c r="K86" s="5">
        <f t="shared" si="24"/>
        <v>0</v>
      </c>
      <c r="L86" s="63">
        <v>1</v>
      </c>
      <c r="M86" s="142">
        <f t="shared" si="25"/>
        <v>0</v>
      </c>
      <c r="N86" s="52"/>
    </row>
    <row r="87" spans="1:14" ht="22.5" hidden="1">
      <c r="A87" s="50">
        <f t="shared" si="20"/>
        <v>5</v>
      </c>
      <c r="B87" s="74" t="s">
        <v>50</v>
      </c>
      <c r="C87" s="3" t="s">
        <v>51</v>
      </c>
      <c r="D87" s="6"/>
      <c r="E87" s="5"/>
      <c r="F87" s="165">
        <v>1</v>
      </c>
      <c r="G87" s="142">
        <f t="shared" si="21"/>
        <v>0</v>
      </c>
      <c r="H87" s="5">
        <f t="shared" si="22"/>
        <v>0</v>
      </c>
      <c r="I87" s="64">
        <v>1</v>
      </c>
      <c r="J87" s="142">
        <f t="shared" si="23"/>
        <v>0</v>
      </c>
      <c r="K87" s="5">
        <f t="shared" si="24"/>
        <v>0</v>
      </c>
      <c r="L87" s="63">
        <v>1</v>
      </c>
      <c r="M87" s="142">
        <f t="shared" si="25"/>
        <v>0</v>
      </c>
      <c r="N87" s="52"/>
    </row>
    <row r="88" spans="1:14" ht="12" hidden="1">
      <c r="A88" s="50">
        <f t="shared" si="20"/>
        <v>6</v>
      </c>
      <c r="B88" s="74" t="s">
        <v>118</v>
      </c>
      <c r="C88" s="3" t="s">
        <v>18</v>
      </c>
      <c r="D88" s="6"/>
      <c r="E88" s="5"/>
      <c r="F88" s="165">
        <v>1</v>
      </c>
      <c r="G88" s="142">
        <f t="shared" si="21"/>
        <v>0</v>
      </c>
      <c r="H88" s="5">
        <f t="shared" si="22"/>
        <v>0</v>
      </c>
      <c r="I88" s="64">
        <v>1</v>
      </c>
      <c r="J88" s="142">
        <f t="shared" si="23"/>
        <v>0</v>
      </c>
      <c r="K88" s="5">
        <f t="shared" si="24"/>
        <v>0</v>
      </c>
      <c r="L88" s="63">
        <v>1</v>
      </c>
      <c r="M88" s="142">
        <f t="shared" si="25"/>
        <v>0</v>
      </c>
      <c r="N88" s="52"/>
    </row>
    <row r="89" spans="1:14" ht="22.5" hidden="1">
      <c r="A89" s="50">
        <f t="shared" si="20"/>
        <v>7</v>
      </c>
      <c r="B89" s="74" t="s">
        <v>349</v>
      </c>
      <c r="C89" s="3" t="s">
        <v>56</v>
      </c>
      <c r="D89" s="6"/>
      <c r="E89" s="5"/>
      <c r="F89" s="165">
        <v>1</v>
      </c>
      <c r="G89" s="142">
        <f t="shared" si="21"/>
        <v>0</v>
      </c>
      <c r="H89" s="5">
        <f t="shared" si="22"/>
        <v>0</v>
      </c>
      <c r="I89" s="64">
        <v>1</v>
      </c>
      <c r="J89" s="142">
        <f t="shared" si="23"/>
        <v>0</v>
      </c>
      <c r="K89" s="5">
        <f t="shared" si="24"/>
        <v>0</v>
      </c>
      <c r="L89" s="63">
        <v>1</v>
      </c>
      <c r="M89" s="142">
        <f t="shared" si="25"/>
        <v>0</v>
      </c>
      <c r="N89" s="52"/>
    </row>
    <row r="90" spans="1:14" ht="22.5" hidden="1">
      <c r="A90" s="50">
        <f t="shared" si="20"/>
        <v>8</v>
      </c>
      <c r="B90" s="74" t="s">
        <v>52</v>
      </c>
      <c r="C90" s="3" t="s">
        <v>53</v>
      </c>
      <c r="D90" s="6"/>
      <c r="E90" s="5"/>
      <c r="F90" s="165">
        <v>1</v>
      </c>
      <c r="G90" s="142">
        <f t="shared" si="21"/>
        <v>0</v>
      </c>
      <c r="H90" s="5">
        <f t="shared" si="22"/>
        <v>0</v>
      </c>
      <c r="I90" s="64">
        <v>1</v>
      </c>
      <c r="J90" s="142">
        <f t="shared" si="23"/>
        <v>0</v>
      </c>
      <c r="K90" s="5">
        <f t="shared" si="24"/>
        <v>0</v>
      </c>
      <c r="L90" s="63">
        <v>1</v>
      </c>
      <c r="M90" s="142">
        <f t="shared" si="25"/>
        <v>0</v>
      </c>
      <c r="N90" s="52"/>
    </row>
    <row r="91" spans="1:14" ht="12" hidden="1">
      <c r="A91" s="50">
        <f t="shared" si="20"/>
        <v>9</v>
      </c>
      <c r="B91" s="74" t="s">
        <v>54</v>
      </c>
      <c r="C91" s="3" t="s">
        <v>22</v>
      </c>
      <c r="D91" s="6"/>
      <c r="E91" s="5"/>
      <c r="F91" s="165">
        <v>1</v>
      </c>
      <c r="G91" s="142">
        <f t="shared" si="21"/>
        <v>0</v>
      </c>
      <c r="H91" s="5">
        <f t="shared" si="22"/>
        <v>0</v>
      </c>
      <c r="I91" s="64">
        <v>1</v>
      </c>
      <c r="J91" s="142">
        <f t="shared" si="23"/>
        <v>0</v>
      </c>
      <c r="K91" s="5">
        <f t="shared" si="24"/>
        <v>0</v>
      </c>
      <c r="L91" s="63">
        <v>1</v>
      </c>
      <c r="M91" s="142">
        <f t="shared" si="25"/>
        <v>0</v>
      </c>
      <c r="N91" s="52"/>
    </row>
    <row r="92" spans="1:14" ht="22.5" hidden="1">
      <c r="A92" s="50">
        <f t="shared" si="20"/>
        <v>10</v>
      </c>
      <c r="B92" s="74" t="s">
        <v>64</v>
      </c>
      <c r="C92" s="3" t="s">
        <v>255</v>
      </c>
      <c r="D92" s="6"/>
      <c r="E92" s="5"/>
      <c r="F92" s="165">
        <v>1</v>
      </c>
      <c r="G92" s="142">
        <f t="shared" si="21"/>
        <v>0</v>
      </c>
      <c r="H92" s="5">
        <f t="shared" si="22"/>
        <v>0</v>
      </c>
      <c r="I92" s="64">
        <v>1</v>
      </c>
      <c r="J92" s="142">
        <f t="shared" si="23"/>
        <v>0</v>
      </c>
      <c r="K92" s="5">
        <f t="shared" si="24"/>
        <v>0</v>
      </c>
      <c r="L92" s="63">
        <v>1</v>
      </c>
      <c r="M92" s="142">
        <f t="shared" si="25"/>
        <v>0</v>
      </c>
      <c r="N92" s="52"/>
    </row>
    <row r="93" spans="1:14" ht="22.5" hidden="1">
      <c r="A93" s="50">
        <f t="shared" si="20"/>
        <v>11</v>
      </c>
      <c r="B93" s="74" t="s">
        <v>254</v>
      </c>
      <c r="C93" s="3" t="s">
        <v>255</v>
      </c>
      <c r="D93" s="6"/>
      <c r="E93" s="5"/>
      <c r="F93" s="165">
        <v>1</v>
      </c>
      <c r="G93" s="142">
        <f t="shared" si="21"/>
        <v>0</v>
      </c>
      <c r="H93" s="5">
        <f t="shared" si="22"/>
        <v>0</v>
      </c>
      <c r="I93" s="64">
        <v>1</v>
      </c>
      <c r="J93" s="142">
        <f t="shared" si="23"/>
        <v>0</v>
      </c>
      <c r="K93" s="5">
        <f t="shared" si="24"/>
        <v>0</v>
      </c>
      <c r="L93" s="63">
        <v>1</v>
      </c>
      <c r="M93" s="142">
        <f t="shared" si="25"/>
        <v>0</v>
      </c>
      <c r="N93" s="52"/>
    </row>
    <row r="94" spans="1:36" s="97" customFormat="1" ht="12">
      <c r="A94" s="498">
        <f t="shared" si="20"/>
        <v>12</v>
      </c>
      <c r="B94" s="499" t="s">
        <v>364</v>
      </c>
      <c r="C94" s="506" t="s">
        <v>55</v>
      </c>
      <c r="D94" s="6"/>
      <c r="E94" s="5">
        <v>5000</v>
      </c>
      <c r="F94" s="165">
        <v>1</v>
      </c>
      <c r="G94" s="142">
        <f t="shared" si="21"/>
        <v>5000</v>
      </c>
      <c r="H94" s="5">
        <f t="shared" si="22"/>
        <v>5000</v>
      </c>
      <c r="I94" s="64">
        <v>1</v>
      </c>
      <c r="J94" s="142">
        <f t="shared" si="23"/>
        <v>5000</v>
      </c>
      <c r="K94" s="5">
        <f t="shared" si="24"/>
        <v>5000</v>
      </c>
      <c r="L94" s="64">
        <v>1</v>
      </c>
      <c r="M94" s="142">
        <f t="shared" si="25"/>
        <v>5000</v>
      </c>
      <c r="N94" s="493" t="s">
        <v>893</v>
      </c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</row>
    <row r="95" spans="1:14" ht="24">
      <c r="A95" s="50">
        <f t="shared" si="20"/>
        <v>13</v>
      </c>
      <c r="B95" s="74" t="s">
        <v>397</v>
      </c>
      <c r="C95" s="3" t="s">
        <v>55</v>
      </c>
      <c r="D95" s="6"/>
      <c r="E95" s="5"/>
      <c r="F95" s="165">
        <v>1</v>
      </c>
      <c r="G95" s="142">
        <f t="shared" si="21"/>
        <v>0</v>
      </c>
      <c r="H95" s="5">
        <f t="shared" si="22"/>
        <v>0</v>
      </c>
      <c r="I95" s="64">
        <v>1</v>
      </c>
      <c r="J95" s="142">
        <f t="shared" si="23"/>
        <v>0</v>
      </c>
      <c r="K95" s="5">
        <f t="shared" si="24"/>
        <v>0</v>
      </c>
      <c r="L95" s="64">
        <v>1</v>
      </c>
      <c r="M95" s="142">
        <f t="shared" si="25"/>
        <v>0</v>
      </c>
      <c r="N95" s="52"/>
    </row>
    <row r="96" spans="1:14" ht="25.5" customHeight="1" hidden="1">
      <c r="A96" s="50">
        <f t="shared" si="20"/>
        <v>14</v>
      </c>
      <c r="B96" s="74" t="s">
        <v>442</v>
      </c>
      <c r="C96" s="3" t="s">
        <v>60</v>
      </c>
      <c r="D96" s="6"/>
      <c r="E96" s="5"/>
      <c r="F96" s="165">
        <v>1</v>
      </c>
      <c r="G96" s="142">
        <f t="shared" si="21"/>
        <v>0</v>
      </c>
      <c r="H96" s="5">
        <f t="shared" si="22"/>
        <v>0</v>
      </c>
      <c r="I96" s="64">
        <v>1</v>
      </c>
      <c r="J96" s="142">
        <f t="shared" si="23"/>
        <v>0</v>
      </c>
      <c r="K96" s="5">
        <f t="shared" si="24"/>
        <v>0</v>
      </c>
      <c r="L96" s="64">
        <v>1</v>
      </c>
      <c r="M96" s="142">
        <f t="shared" si="25"/>
        <v>0</v>
      </c>
      <c r="N96" s="52"/>
    </row>
    <row r="97" spans="1:14" ht="25.5" customHeight="1" hidden="1">
      <c r="A97" s="50">
        <f t="shared" si="20"/>
        <v>15</v>
      </c>
      <c r="B97" s="74" t="s">
        <v>447</v>
      </c>
      <c r="C97" s="3" t="s">
        <v>60</v>
      </c>
      <c r="D97" s="6"/>
      <c r="E97" s="5"/>
      <c r="F97" s="165">
        <v>1</v>
      </c>
      <c r="G97" s="142">
        <f t="shared" si="21"/>
        <v>0</v>
      </c>
      <c r="H97" s="5">
        <f t="shared" si="22"/>
        <v>0</v>
      </c>
      <c r="I97" s="64">
        <v>1</v>
      </c>
      <c r="J97" s="142">
        <f t="shared" si="23"/>
        <v>0</v>
      </c>
      <c r="K97" s="5">
        <f t="shared" si="24"/>
        <v>0</v>
      </c>
      <c r="L97" s="64">
        <v>1</v>
      </c>
      <c r="M97" s="142">
        <f t="shared" si="25"/>
        <v>0</v>
      </c>
      <c r="N97" s="52"/>
    </row>
    <row r="98" spans="1:14" ht="36.75" customHeight="1" hidden="1">
      <c r="A98" s="50">
        <v>16</v>
      </c>
      <c r="B98" s="74" t="s">
        <v>342</v>
      </c>
      <c r="C98" s="3" t="s">
        <v>60</v>
      </c>
      <c r="D98" s="6"/>
      <c r="E98" s="5"/>
      <c r="F98" s="165">
        <v>1</v>
      </c>
      <c r="G98" s="142">
        <f t="shared" si="21"/>
        <v>0</v>
      </c>
      <c r="H98" s="5">
        <f t="shared" si="22"/>
        <v>0</v>
      </c>
      <c r="I98" s="64">
        <v>1</v>
      </c>
      <c r="J98" s="142">
        <f t="shared" si="23"/>
        <v>0</v>
      </c>
      <c r="K98" s="5">
        <f t="shared" si="24"/>
        <v>0</v>
      </c>
      <c r="L98" s="64">
        <v>1</v>
      </c>
      <c r="M98" s="142">
        <f t="shared" si="25"/>
        <v>0</v>
      </c>
      <c r="N98" s="52"/>
    </row>
    <row r="99" spans="1:14" ht="24" hidden="1">
      <c r="A99" s="50">
        <v>17</v>
      </c>
      <c r="B99" s="74" t="s">
        <v>58</v>
      </c>
      <c r="C99" s="3" t="s">
        <v>500</v>
      </c>
      <c r="D99" s="6"/>
      <c r="E99" s="5"/>
      <c r="F99" s="165">
        <v>1</v>
      </c>
      <c r="G99" s="142">
        <f t="shared" si="21"/>
        <v>0</v>
      </c>
      <c r="H99" s="5">
        <f t="shared" si="22"/>
        <v>0</v>
      </c>
      <c r="I99" s="64">
        <v>1</v>
      </c>
      <c r="J99" s="142">
        <f t="shared" si="23"/>
        <v>0</v>
      </c>
      <c r="K99" s="5">
        <f t="shared" si="24"/>
        <v>0</v>
      </c>
      <c r="L99" s="64">
        <v>1</v>
      </c>
      <c r="M99" s="142">
        <f t="shared" si="25"/>
        <v>0</v>
      </c>
      <c r="N99" s="52"/>
    </row>
    <row r="100" spans="1:14" ht="22.5">
      <c r="A100" s="50">
        <f t="shared" si="20"/>
        <v>18</v>
      </c>
      <c r="B100" s="74" t="s">
        <v>338</v>
      </c>
      <c r="C100" s="3" t="s">
        <v>500</v>
      </c>
      <c r="D100" s="6">
        <v>34858.2</v>
      </c>
      <c r="E100" s="5">
        <v>34858.2</v>
      </c>
      <c r="F100" s="165">
        <v>1</v>
      </c>
      <c r="G100" s="142">
        <f t="shared" si="21"/>
        <v>34858</v>
      </c>
      <c r="H100" s="5">
        <f t="shared" si="22"/>
        <v>34858</v>
      </c>
      <c r="I100" s="64">
        <v>1</v>
      </c>
      <c r="J100" s="142">
        <f t="shared" si="23"/>
        <v>34858</v>
      </c>
      <c r="K100" s="5">
        <f t="shared" si="24"/>
        <v>34858</v>
      </c>
      <c r="L100" s="64">
        <v>1</v>
      </c>
      <c r="M100" s="142">
        <f t="shared" si="25"/>
        <v>34858</v>
      </c>
      <c r="N100" s="52"/>
    </row>
    <row r="101" spans="1:14" ht="24" hidden="1">
      <c r="A101" s="50">
        <f t="shared" si="20"/>
        <v>19</v>
      </c>
      <c r="B101" s="74" t="s">
        <v>443</v>
      </c>
      <c r="C101" s="3" t="s">
        <v>60</v>
      </c>
      <c r="D101" s="6"/>
      <c r="E101" s="5"/>
      <c r="F101" s="165">
        <v>1</v>
      </c>
      <c r="G101" s="142">
        <f t="shared" si="21"/>
        <v>0</v>
      </c>
      <c r="H101" s="5">
        <f t="shared" si="22"/>
        <v>0</v>
      </c>
      <c r="I101" s="64">
        <v>1</v>
      </c>
      <c r="J101" s="142">
        <f t="shared" si="23"/>
        <v>0</v>
      </c>
      <c r="K101" s="5">
        <f t="shared" si="24"/>
        <v>0</v>
      </c>
      <c r="L101" s="64">
        <v>1</v>
      </c>
      <c r="M101" s="142">
        <f t="shared" si="25"/>
        <v>0</v>
      </c>
      <c r="N101" s="52"/>
    </row>
    <row r="102" spans="1:14" ht="22.5">
      <c r="A102" s="50">
        <f t="shared" si="20"/>
        <v>20</v>
      </c>
      <c r="B102" s="74" t="s">
        <v>57</v>
      </c>
      <c r="C102" s="3" t="s">
        <v>500</v>
      </c>
      <c r="D102" s="6">
        <v>10103.52</v>
      </c>
      <c r="E102" s="5">
        <v>10103.52</v>
      </c>
      <c r="F102" s="165">
        <v>1</v>
      </c>
      <c r="G102" s="142">
        <f t="shared" si="21"/>
        <v>10104</v>
      </c>
      <c r="H102" s="5">
        <f t="shared" si="22"/>
        <v>10104</v>
      </c>
      <c r="I102" s="64">
        <v>1</v>
      </c>
      <c r="J102" s="142">
        <f t="shared" si="23"/>
        <v>10104</v>
      </c>
      <c r="K102" s="5">
        <f t="shared" si="24"/>
        <v>10104</v>
      </c>
      <c r="L102" s="64">
        <v>1</v>
      </c>
      <c r="M102" s="142">
        <f t="shared" si="25"/>
        <v>10104</v>
      </c>
      <c r="N102" s="52"/>
    </row>
    <row r="103" spans="1:14" ht="24">
      <c r="A103" s="498">
        <f t="shared" si="20"/>
        <v>21</v>
      </c>
      <c r="B103" s="74" t="s">
        <v>83</v>
      </c>
      <c r="C103" s="3" t="s">
        <v>84</v>
      </c>
      <c r="D103" s="6">
        <v>37800</v>
      </c>
      <c r="E103" s="5">
        <v>37800</v>
      </c>
      <c r="F103" s="165">
        <v>1</v>
      </c>
      <c r="G103" s="142">
        <f t="shared" si="21"/>
        <v>37800</v>
      </c>
      <c r="H103" s="5">
        <f t="shared" si="22"/>
        <v>37800</v>
      </c>
      <c r="I103" s="64">
        <v>1</v>
      </c>
      <c r="J103" s="142">
        <f t="shared" si="23"/>
        <v>37800</v>
      </c>
      <c r="K103" s="5">
        <f t="shared" si="24"/>
        <v>37800</v>
      </c>
      <c r="L103" s="64">
        <v>1</v>
      </c>
      <c r="M103" s="142">
        <f t="shared" si="25"/>
        <v>37800</v>
      </c>
      <c r="N103" s="52" t="s">
        <v>519</v>
      </c>
    </row>
    <row r="104" spans="1:14" ht="24">
      <c r="A104" s="498">
        <f t="shared" si="20"/>
        <v>22</v>
      </c>
      <c r="B104" s="74" t="s">
        <v>63</v>
      </c>
      <c r="C104" s="3" t="s">
        <v>60</v>
      </c>
      <c r="D104" s="6"/>
      <c r="E104" s="5"/>
      <c r="F104" s="165">
        <v>1</v>
      </c>
      <c r="G104" s="142">
        <f t="shared" si="21"/>
        <v>0</v>
      </c>
      <c r="H104" s="5">
        <f t="shared" si="22"/>
        <v>0</v>
      </c>
      <c r="I104" s="64">
        <v>1</v>
      </c>
      <c r="J104" s="142">
        <f t="shared" si="23"/>
        <v>0</v>
      </c>
      <c r="K104" s="5">
        <f t="shared" si="24"/>
        <v>0</v>
      </c>
      <c r="L104" s="64">
        <v>1</v>
      </c>
      <c r="M104" s="142">
        <f t="shared" si="25"/>
        <v>0</v>
      </c>
      <c r="N104" s="52"/>
    </row>
    <row r="105" spans="1:14" ht="22.5">
      <c r="A105" s="50">
        <f t="shared" si="20"/>
        <v>23</v>
      </c>
      <c r="B105" s="74" t="s">
        <v>292</v>
      </c>
      <c r="C105" s="3" t="s">
        <v>84</v>
      </c>
      <c r="D105" s="6"/>
      <c r="E105" s="5"/>
      <c r="F105" s="165">
        <v>1</v>
      </c>
      <c r="G105" s="142">
        <f t="shared" si="21"/>
        <v>0</v>
      </c>
      <c r="H105" s="5">
        <f t="shared" si="22"/>
        <v>0</v>
      </c>
      <c r="I105" s="64">
        <v>1</v>
      </c>
      <c r="J105" s="142">
        <f t="shared" si="23"/>
        <v>0</v>
      </c>
      <c r="K105" s="5">
        <f t="shared" si="24"/>
        <v>0</v>
      </c>
      <c r="L105" s="64">
        <v>1</v>
      </c>
      <c r="M105" s="142">
        <f t="shared" si="25"/>
        <v>0</v>
      </c>
      <c r="N105" s="52"/>
    </row>
    <row r="106" spans="1:14" ht="24">
      <c r="A106" s="50">
        <f t="shared" si="20"/>
        <v>24</v>
      </c>
      <c r="B106" s="74" t="s">
        <v>370</v>
      </c>
      <c r="C106" s="3" t="s">
        <v>18</v>
      </c>
      <c r="D106" s="6"/>
      <c r="E106" s="5"/>
      <c r="F106" s="165">
        <v>1</v>
      </c>
      <c r="G106" s="142">
        <f t="shared" si="21"/>
        <v>0</v>
      </c>
      <c r="H106" s="5">
        <f t="shared" si="22"/>
        <v>0</v>
      </c>
      <c r="I106" s="64">
        <v>1</v>
      </c>
      <c r="J106" s="142">
        <f t="shared" si="23"/>
        <v>0</v>
      </c>
      <c r="K106" s="5">
        <f t="shared" si="24"/>
        <v>0</v>
      </c>
      <c r="L106" s="64">
        <v>1</v>
      </c>
      <c r="M106" s="142">
        <f t="shared" si="25"/>
        <v>0</v>
      </c>
      <c r="N106" s="52"/>
    </row>
    <row r="107" spans="1:14" ht="12">
      <c r="A107" s="50">
        <f t="shared" si="20"/>
        <v>25</v>
      </c>
      <c r="B107" s="74" t="s">
        <v>339</v>
      </c>
      <c r="C107" s="3" t="s">
        <v>18</v>
      </c>
      <c r="D107" s="6">
        <v>83997.12</v>
      </c>
      <c r="E107" s="5">
        <v>83997.12</v>
      </c>
      <c r="F107" s="165">
        <v>1</v>
      </c>
      <c r="G107" s="142">
        <f t="shared" si="21"/>
        <v>83997</v>
      </c>
      <c r="H107" s="5">
        <f t="shared" si="22"/>
        <v>83997</v>
      </c>
      <c r="I107" s="64">
        <v>1</v>
      </c>
      <c r="J107" s="142">
        <f t="shared" si="23"/>
        <v>83997</v>
      </c>
      <c r="K107" s="5">
        <f t="shared" si="24"/>
        <v>83997</v>
      </c>
      <c r="L107" s="64">
        <v>1</v>
      </c>
      <c r="M107" s="142">
        <f t="shared" si="25"/>
        <v>83997</v>
      </c>
      <c r="N107" s="52" t="s">
        <v>517</v>
      </c>
    </row>
    <row r="108" spans="1:14" ht="24">
      <c r="A108" s="50">
        <f t="shared" si="20"/>
        <v>26</v>
      </c>
      <c r="B108" s="74" t="s">
        <v>89</v>
      </c>
      <c r="C108" s="3" t="s">
        <v>18</v>
      </c>
      <c r="D108" s="6"/>
      <c r="E108" s="5"/>
      <c r="F108" s="165">
        <v>1</v>
      </c>
      <c r="G108" s="142">
        <f t="shared" si="21"/>
        <v>0</v>
      </c>
      <c r="H108" s="5">
        <f t="shared" si="22"/>
        <v>0</v>
      </c>
      <c r="I108" s="64">
        <v>1</v>
      </c>
      <c r="J108" s="142">
        <f t="shared" si="23"/>
        <v>0</v>
      </c>
      <c r="K108" s="5">
        <f t="shared" si="24"/>
        <v>0</v>
      </c>
      <c r="L108" s="64">
        <v>1</v>
      </c>
      <c r="M108" s="142">
        <f t="shared" si="25"/>
        <v>0</v>
      </c>
      <c r="N108" s="52"/>
    </row>
    <row r="109" spans="1:14" ht="24">
      <c r="A109" s="50">
        <f t="shared" si="20"/>
        <v>27</v>
      </c>
      <c r="B109" s="74" t="s">
        <v>92</v>
      </c>
      <c r="C109" s="3" t="s">
        <v>18</v>
      </c>
      <c r="D109" s="6"/>
      <c r="E109" s="5"/>
      <c r="F109" s="165">
        <v>1</v>
      </c>
      <c r="G109" s="142">
        <f t="shared" si="21"/>
        <v>0</v>
      </c>
      <c r="H109" s="5">
        <f t="shared" si="22"/>
        <v>0</v>
      </c>
      <c r="I109" s="64">
        <v>1</v>
      </c>
      <c r="J109" s="142">
        <f t="shared" si="23"/>
        <v>0</v>
      </c>
      <c r="K109" s="5">
        <f t="shared" si="24"/>
        <v>0</v>
      </c>
      <c r="L109" s="64">
        <v>1</v>
      </c>
      <c r="M109" s="142">
        <f t="shared" si="25"/>
        <v>0</v>
      </c>
      <c r="N109" s="52"/>
    </row>
    <row r="110" spans="1:14" ht="25.5" customHeight="1">
      <c r="A110" s="50">
        <f t="shared" si="20"/>
        <v>28</v>
      </c>
      <c r="B110" s="74" t="s">
        <v>93</v>
      </c>
      <c r="C110" s="3" t="s">
        <v>18</v>
      </c>
      <c r="D110" s="6">
        <v>18495</v>
      </c>
      <c r="E110" s="5">
        <v>18495</v>
      </c>
      <c r="F110" s="165">
        <v>1</v>
      </c>
      <c r="G110" s="142">
        <f t="shared" si="21"/>
        <v>18495</v>
      </c>
      <c r="H110" s="5">
        <f t="shared" si="22"/>
        <v>18495</v>
      </c>
      <c r="I110" s="64">
        <v>1</v>
      </c>
      <c r="J110" s="142">
        <f t="shared" si="23"/>
        <v>18495</v>
      </c>
      <c r="K110" s="5">
        <f t="shared" si="24"/>
        <v>18495</v>
      </c>
      <c r="L110" s="64">
        <v>1</v>
      </c>
      <c r="M110" s="142">
        <f t="shared" si="25"/>
        <v>18495</v>
      </c>
      <c r="N110" s="52" t="s">
        <v>516</v>
      </c>
    </row>
    <row r="111" spans="1:14" ht="24">
      <c r="A111" s="50">
        <f t="shared" si="20"/>
        <v>29</v>
      </c>
      <c r="B111" s="74" t="s">
        <v>340</v>
      </c>
      <c r="C111" s="3" t="s">
        <v>18</v>
      </c>
      <c r="D111" s="6"/>
      <c r="E111" s="5"/>
      <c r="F111" s="165">
        <v>1</v>
      </c>
      <c r="G111" s="142">
        <f t="shared" si="21"/>
        <v>0</v>
      </c>
      <c r="H111" s="5">
        <f t="shared" si="22"/>
        <v>0</v>
      </c>
      <c r="I111" s="64">
        <v>1</v>
      </c>
      <c r="J111" s="142">
        <f t="shared" si="23"/>
        <v>0</v>
      </c>
      <c r="K111" s="5">
        <f t="shared" si="24"/>
        <v>0</v>
      </c>
      <c r="L111" s="64">
        <v>1</v>
      </c>
      <c r="M111" s="142">
        <f t="shared" si="25"/>
        <v>0</v>
      </c>
      <c r="N111" s="52"/>
    </row>
    <row r="112" spans="1:14" ht="48">
      <c r="A112" s="50">
        <v>29</v>
      </c>
      <c r="B112" s="74" t="s">
        <v>481</v>
      </c>
      <c r="C112" s="3" t="s">
        <v>18</v>
      </c>
      <c r="D112" s="6">
        <v>36000</v>
      </c>
      <c r="E112" s="5">
        <v>36000</v>
      </c>
      <c r="F112" s="165">
        <v>1</v>
      </c>
      <c r="G112" s="142">
        <f t="shared" si="21"/>
        <v>36000</v>
      </c>
      <c r="H112" s="5">
        <f t="shared" si="22"/>
        <v>36000</v>
      </c>
      <c r="I112" s="64">
        <v>1</v>
      </c>
      <c r="J112" s="142">
        <f t="shared" si="23"/>
        <v>36000</v>
      </c>
      <c r="K112" s="5">
        <f t="shared" si="24"/>
        <v>36000</v>
      </c>
      <c r="L112" s="64">
        <v>1</v>
      </c>
      <c r="M112" s="142">
        <f t="shared" si="25"/>
        <v>36000</v>
      </c>
      <c r="N112" s="52" t="s">
        <v>515</v>
      </c>
    </row>
    <row r="113" spans="1:14" ht="22.5">
      <c r="A113" s="50">
        <v>30</v>
      </c>
      <c r="B113" s="74" t="s">
        <v>365</v>
      </c>
      <c r="C113" s="3" t="s">
        <v>59</v>
      </c>
      <c r="D113" s="6"/>
      <c r="E113" s="5"/>
      <c r="F113" s="165">
        <v>1</v>
      </c>
      <c r="G113" s="142">
        <f t="shared" si="21"/>
        <v>0</v>
      </c>
      <c r="H113" s="5">
        <f t="shared" si="22"/>
        <v>0</v>
      </c>
      <c r="I113" s="64">
        <v>1</v>
      </c>
      <c r="J113" s="142">
        <f t="shared" si="23"/>
        <v>0</v>
      </c>
      <c r="K113" s="5">
        <f t="shared" si="24"/>
        <v>0</v>
      </c>
      <c r="L113" s="64">
        <v>1</v>
      </c>
      <c r="M113" s="142">
        <f t="shared" si="25"/>
        <v>0</v>
      </c>
      <c r="N113" s="52"/>
    </row>
    <row r="114" spans="1:14" ht="22.5">
      <c r="A114" s="50">
        <f t="shared" si="20"/>
        <v>31</v>
      </c>
      <c r="B114" s="74" t="s">
        <v>366</v>
      </c>
      <c r="C114" s="3" t="s">
        <v>59</v>
      </c>
      <c r="D114" s="6"/>
      <c r="E114" s="5"/>
      <c r="F114" s="165">
        <v>1</v>
      </c>
      <c r="G114" s="142">
        <f t="shared" si="21"/>
        <v>0</v>
      </c>
      <c r="H114" s="5">
        <f t="shared" si="22"/>
        <v>0</v>
      </c>
      <c r="I114" s="64">
        <v>1</v>
      </c>
      <c r="J114" s="142">
        <f t="shared" si="23"/>
        <v>0</v>
      </c>
      <c r="K114" s="5">
        <f t="shared" si="24"/>
        <v>0</v>
      </c>
      <c r="L114" s="64">
        <v>1</v>
      </c>
      <c r="M114" s="142">
        <f t="shared" si="25"/>
        <v>0</v>
      </c>
      <c r="N114" s="52"/>
    </row>
    <row r="115" spans="1:14" ht="33.75">
      <c r="A115" s="50">
        <f t="shared" si="20"/>
        <v>32</v>
      </c>
      <c r="B115" s="74" t="s">
        <v>311</v>
      </c>
      <c r="C115" s="34" t="s">
        <v>501</v>
      </c>
      <c r="D115" s="6">
        <v>13372.94</v>
      </c>
      <c r="E115" s="5">
        <v>13372.94</v>
      </c>
      <c r="F115" s="165">
        <v>1</v>
      </c>
      <c r="G115" s="142">
        <f t="shared" si="21"/>
        <v>13373</v>
      </c>
      <c r="H115" s="5">
        <f t="shared" si="22"/>
        <v>13373</v>
      </c>
      <c r="I115" s="64">
        <v>1</v>
      </c>
      <c r="J115" s="142">
        <f t="shared" si="23"/>
        <v>13373</v>
      </c>
      <c r="K115" s="5">
        <f t="shared" si="24"/>
        <v>13373</v>
      </c>
      <c r="L115" s="64">
        <v>1</v>
      </c>
      <c r="M115" s="142">
        <f t="shared" si="25"/>
        <v>13373</v>
      </c>
      <c r="N115" s="52" t="s">
        <v>523</v>
      </c>
    </row>
    <row r="116" spans="1:14" ht="24">
      <c r="A116" s="50">
        <f>A115+1</f>
        <v>33</v>
      </c>
      <c r="B116" s="74" t="s">
        <v>256</v>
      </c>
      <c r="C116" s="3" t="s">
        <v>60</v>
      </c>
      <c r="D116" s="6"/>
      <c r="E116" s="5"/>
      <c r="F116" s="165">
        <v>1</v>
      </c>
      <c r="G116" s="142">
        <f t="shared" si="21"/>
        <v>0</v>
      </c>
      <c r="H116" s="5">
        <f t="shared" si="22"/>
        <v>0</v>
      </c>
      <c r="I116" s="64">
        <v>1</v>
      </c>
      <c r="J116" s="142">
        <f t="shared" si="23"/>
        <v>0</v>
      </c>
      <c r="K116" s="5">
        <f t="shared" si="24"/>
        <v>0</v>
      </c>
      <c r="L116" s="64">
        <v>1</v>
      </c>
      <c r="M116" s="142">
        <f t="shared" si="25"/>
        <v>0</v>
      </c>
      <c r="N116" s="52"/>
    </row>
    <row r="117" spans="1:14" ht="22.5">
      <c r="A117" s="50">
        <f aca="true" t="shared" si="26" ref="A117:A129">A116+1</f>
        <v>34</v>
      </c>
      <c r="B117" s="74" t="s">
        <v>328</v>
      </c>
      <c r="C117" s="3" t="s">
        <v>60</v>
      </c>
      <c r="D117" s="6"/>
      <c r="E117" s="5"/>
      <c r="F117" s="165">
        <v>1</v>
      </c>
      <c r="G117" s="142">
        <f t="shared" si="21"/>
        <v>0</v>
      </c>
      <c r="H117" s="5">
        <f t="shared" si="22"/>
        <v>0</v>
      </c>
      <c r="I117" s="64">
        <v>1</v>
      </c>
      <c r="J117" s="142">
        <f t="shared" si="23"/>
        <v>0</v>
      </c>
      <c r="K117" s="5">
        <f t="shared" si="24"/>
        <v>0</v>
      </c>
      <c r="L117" s="64">
        <v>1</v>
      </c>
      <c r="M117" s="142">
        <f t="shared" si="25"/>
        <v>0</v>
      </c>
      <c r="N117" s="52"/>
    </row>
    <row r="118" spans="1:14" ht="67.5">
      <c r="A118" s="498">
        <f t="shared" si="26"/>
        <v>35</v>
      </c>
      <c r="B118" s="499" t="s">
        <v>346</v>
      </c>
      <c r="C118" s="34" t="s">
        <v>501</v>
      </c>
      <c r="D118" s="6">
        <v>66510.44</v>
      </c>
      <c r="E118" s="5">
        <v>66510.44</v>
      </c>
      <c r="F118" s="165">
        <v>1</v>
      </c>
      <c r="G118" s="142">
        <f t="shared" si="21"/>
        <v>66510</v>
      </c>
      <c r="H118" s="5">
        <f t="shared" si="22"/>
        <v>66510</v>
      </c>
      <c r="I118" s="64">
        <v>1</v>
      </c>
      <c r="J118" s="142">
        <f t="shared" si="23"/>
        <v>66510</v>
      </c>
      <c r="K118" s="5">
        <f t="shared" si="24"/>
        <v>66510</v>
      </c>
      <c r="L118" s="64">
        <v>1</v>
      </c>
      <c r="M118" s="142">
        <f t="shared" si="25"/>
        <v>66510</v>
      </c>
      <c r="N118" s="493" t="s">
        <v>891</v>
      </c>
    </row>
    <row r="119" spans="1:14" ht="33.75" hidden="1">
      <c r="A119" s="50">
        <f t="shared" si="26"/>
        <v>36</v>
      </c>
      <c r="B119" s="74" t="s">
        <v>348</v>
      </c>
      <c r="C119" s="34" t="s">
        <v>501</v>
      </c>
      <c r="D119" s="6"/>
      <c r="E119" s="5"/>
      <c r="F119" s="165">
        <v>1</v>
      </c>
      <c r="G119" s="142">
        <f t="shared" si="21"/>
        <v>0</v>
      </c>
      <c r="H119" s="5">
        <f t="shared" si="22"/>
        <v>0</v>
      </c>
      <c r="I119" s="64">
        <v>1</v>
      </c>
      <c r="J119" s="142">
        <f t="shared" si="23"/>
        <v>0</v>
      </c>
      <c r="K119" s="5">
        <f t="shared" si="24"/>
        <v>0</v>
      </c>
      <c r="L119" s="64">
        <v>1</v>
      </c>
      <c r="M119" s="142">
        <f t="shared" si="25"/>
        <v>0</v>
      </c>
      <c r="N119" s="52"/>
    </row>
    <row r="120" spans="1:14" ht="22.5">
      <c r="A120" s="498">
        <f t="shared" si="26"/>
        <v>37</v>
      </c>
      <c r="B120" s="499" t="s">
        <v>357</v>
      </c>
      <c r="C120" s="3" t="s">
        <v>61</v>
      </c>
      <c r="D120" s="6">
        <v>38600</v>
      </c>
      <c r="E120" s="5">
        <v>33600</v>
      </c>
      <c r="F120" s="165">
        <v>1</v>
      </c>
      <c r="G120" s="142">
        <f t="shared" si="21"/>
        <v>33600</v>
      </c>
      <c r="H120" s="5">
        <f t="shared" si="22"/>
        <v>33600</v>
      </c>
      <c r="I120" s="64">
        <v>1</v>
      </c>
      <c r="J120" s="142">
        <f t="shared" si="23"/>
        <v>33600</v>
      </c>
      <c r="K120" s="5">
        <f t="shared" si="24"/>
        <v>33600</v>
      </c>
      <c r="L120" s="64">
        <v>1</v>
      </c>
      <c r="M120" s="142">
        <f t="shared" si="25"/>
        <v>33600</v>
      </c>
      <c r="N120" s="493" t="s">
        <v>892</v>
      </c>
    </row>
    <row r="121" spans="1:14" ht="24">
      <c r="A121" s="50">
        <f>A120+1</f>
        <v>38</v>
      </c>
      <c r="B121" s="74" t="s">
        <v>506</v>
      </c>
      <c r="C121" s="3" t="s">
        <v>61</v>
      </c>
      <c r="D121" s="6"/>
      <c r="E121" s="5"/>
      <c r="F121" s="165">
        <v>1</v>
      </c>
      <c r="G121" s="142">
        <f>ROUND(E121*F121,0)</f>
        <v>0</v>
      </c>
      <c r="H121" s="5">
        <f>G121</f>
        <v>0</v>
      </c>
      <c r="I121" s="64">
        <v>1</v>
      </c>
      <c r="J121" s="142">
        <f>ROUND(H121*I121,0)</f>
        <v>0</v>
      </c>
      <c r="K121" s="5">
        <f>J121</f>
        <v>0</v>
      </c>
      <c r="L121" s="64">
        <v>1</v>
      </c>
      <c r="M121" s="142">
        <f>ROUND(K121*L121,0)</f>
        <v>0</v>
      </c>
      <c r="N121" s="52"/>
    </row>
    <row r="122" spans="1:14" ht="36">
      <c r="A122" s="50">
        <f>A121+1</f>
        <v>39</v>
      </c>
      <c r="B122" s="74" t="s">
        <v>343</v>
      </c>
      <c r="C122" s="34" t="s">
        <v>501</v>
      </c>
      <c r="D122" s="6"/>
      <c r="E122" s="5"/>
      <c r="F122" s="165">
        <v>1</v>
      </c>
      <c r="G122" s="142">
        <f t="shared" si="21"/>
        <v>0</v>
      </c>
      <c r="H122" s="5">
        <f t="shared" si="22"/>
        <v>0</v>
      </c>
      <c r="I122" s="64">
        <v>1</v>
      </c>
      <c r="J122" s="142">
        <f t="shared" si="23"/>
        <v>0</v>
      </c>
      <c r="K122" s="5">
        <f t="shared" si="24"/>
        <v>0</v>
      </c>
      <c r="L122" s="64">
        <v>1</v>
      </c>
      <c r="M122" s="142">
        <f t="shared" si="25"/>
        <v>0</v>
      </c>
      <c r="N122" s="52"/>
    </row>
    <row r="123" spans="1:14" ht="12">
      <c r="A123" s="50">
        <f t="shared" si="26"/>
        <v>40</v>
      </c>
      <c r="B123" s="74" t="s">
        <v>0</v>
      </c>
      <c r="C123" s="3" t="s">
        <v>18</v>
      </c>
      <c r="D123" s="6"/>
      <c r="E123" s="5"/>
      <c r="F123" s="165">
        <v>1</v>
      </c>
      <c r="G123" s="142">
        <f t="shared" si="21"/>
        <v>0</v>
      </c>
      <c r="H123" s="5">
        <f t="shared" si="22"/>
        <v>0</v>
      </c>
      <c r="I123" s="64">
        <v>1</v>
      </c>
      <c r="J123" s="142">
        <f t="shared" si="23"/>
        <v>0</v>
      </c>
      <c r="K123" s="5">
        <f t="shared" si="24"/>
        <v>0</v>
      </c>
      <c r="L123" s="64">
        <v>1</v>
      </c>
      <c r="M123" s="142">
        <f t="shared" si="25"/>
        <v>0</v>
      </c>
      <c r="N123" s="52"/>
    </row>
    <row r="124" spans="1:14" ht="12">
      <c r="A124" s="50">
        <f t="shared" si="26"/>
        <v>41</v>
      </c>
      <c r="B124" s="74" t="s">
        <v>260</v>
      </c>
      <c r="C124" s="3" t="s">
        <v>18</v>
      </c>
      <c r="D124" s="6">
        <v>31200</v>
      </c>
      <c r="E124" s="5">
        <v>31200</v>
      </c>
      <c r="F124" s="165">
        <v>1</v>
      </c>
      <c r="G124" s="142">
        <f t="shared" si="21"/>
        <v>31200</v>
      </c>
      <c r="H124" s="5">
        <f t="shared" si="22"/>
        <v>31200</v>
      </c>
      <c r="I124" s="64">
        <v>1</v>
      </c>
      <c r="J124" s="142">
        <f t="shared" si="23"/>
        <v>31200</v>
      </c>
      <c r="K124" s="5">
        <f t="shared" si="24"/>
        <v>31200</v>
      </c>
      <c r="L124" s="64">
        <v>1</v>
      </c>
      <c r="M124" s="142">
        <f t="shared" si="25"/>
        <v>31200</v>
      </c>
      <c r="N124" s="52" t="s">
        <v>521</v>
      </c>
    </row>
    <row r="125" spans="1:14" ht="22.5">
      <c r="A125" s="50" t="s">
        <v>522</v>
      </c>
      <c r="B125" s="74" t="s">
        <v>127</v>
      </c>
      <c r="C125" s="3" t="s">
        <v>91</v>
      </c>
      <c r="D125" s="6"/>
      <c r="E125" s="5"/>
      <c r="F125" s="165">
        <v>1</v>
      </c>
      <c r="G125" s="142">
        <f t="shared" si="21"/>
        <v>0</v>
      </c>
      <c r="H125" s="5">
        <f t="shared" si="22"/>
        <v>0</v>
      </c>
      <c r="I125" s="64">
        <v>1</v>
      </c>
      <c r="J125" s="142">
        <f t="shared" si="23"/>
        <v>0</v>
      </c>
      <c r="K125" s="5">
        <f t="shared" si="24"/>
        <v>0</v>
      </c>
      <c r="L125" s="64">
        <v>1</v>
      </c>
      <c r="M125" s="142">
        <f t="shared" si="25"/>
        <v>0</v>
      </c>
      <c r="N125" s="52"/>
    </row>
    <row r="126" spans="1:14" ht="24">
      <c r="A126" s="50" t="e">
        <f t="shared" si="26"/>
        <v>#VALUE!</v>
      </c>
      <c r="B126" s="74" t="s">
        <v>322</v>
      </c>
      <c r="C126" s="34" t="s">
        <v>156</v>
      </c>
      <c r="D126" s="6"/>
      <c r="E126" s="5"/>
      <c r="F126" s="165">
        <v>1</v>
      </c>
      <c r="G126" s="142">
        <f t="shared" si="21"/>
        <v>0</v>
      </c>
      <c r="H126" s="5">
        <f t="shared" si="22"/>
        <v>0</v>
      </c>
      <c r="I126" s="64">
        <v>1</v>
      </c>
      <c r="J126" s="142">
        <f t="shared" si="23"/>
        <v>0</v>
      </c>
      <c r="K126" s="5">
        <f t="shared" si="24"/>
        <v>0</v>
      </c>
      <c r="L126" s="64">
        <v>1</v>
      </c>
      <c r="M126" s="142">
        <f t="shared" si="25"/>
        <v>0</v>
      </c>
      <c r="N126" s="52"/>
    </row>
    <row r="127" spans="1:14" ht="36">
      <c r="A127" s="50" t="e">
        <f t="shared" si="26"/>
        <v>#VALUE!</v>
      </c>
      <c r="B127" s="74" t="s">
        <v>475</v>
      </c>
      <c r="C127" s="34" t="s">
        <v>156</v>
      </c>
      <c r="D127" s="6">
        <v>24351.99</v>
      </c>
      <c r="E127" s="5">
        <v>24351.99</v>
      </c>
      <c r="F127" s="165">
        <v>1</v>
      </c>
      <c r="G127" s="142">
        <f t="shared" si="21"/>
        <v>24352</v>
      </c>
      <c r="H127" s="5">
        <f t="shared" si="22"/>
        <v>24352</v>
      </c>
      <c r="I127" s="64">
        <v>1</v>
      </c>
      <c r="J127" s="142">
        <f t="shared" si="23"/>
        <v>24352</v>
      </c>
      <c r="K127" s="5">
        <f t="shared" si="24"/>
        <v>24352</v>
      </c>
      <c r="L127" s="64">
        <v>1</v>
      </c>
      <c r="M127" s="142">
        <f t="shared" si="25"/>
        <v>24352</v>
      </c>
      <c r="N127" s="52" t="s">
        <v>520</v>
      </c>
    </row>
    <row r="128" spans="1:14" ht="25.5" customHeight="1">
      <c r="A128" s="50" t="e">
        <f>A127+1</f>
        <v>#VALUE!</v>
      </c>
      <c r="B128" s="74" t="s">
        <v>441</v>
      </c>
      <c r="C128" s="34" t="s">
        <v>156</v>
      </c>
      <c r="D128" s="6"/>
      <c r="E128" s="5"/>
      <c r="F128" s="165">
        <v>1</v>
      </c>
      <c r="G128" s="142">
        <f t="shared" si="21"/>
        <v>0</v>
      </c>
      <c r="H128" s="5">
        <f t="shared" si="22"/>
        <v>0</v>
      </c>
      <c r="I128" s="64">
        <v>1</v>
      </c>
      <c r="J128" s="142">
        <f t="shared" si="23"/>
        <v>0</v>
      </c>
      <c r="K128" s="5">
        <f t="shared" si="24"/>
        <v>0</v>
      </c>
      <c r="L128" s="64">
        <v>1</v>
      </c>
      <c r="M128" s="142">
        <f t="shared" si="25"/>
        <v>0</v>
      </c>
      <c r="N128" s="52"/>
    </row>
    <row r="129" spans="1:14" ht="24" hidden="1">
      <c r="A129" s="50" t="e">
        <f t="shared" si="26"/>
        <v>#VALUE!</v>
      </c>
      <c r="B129" s="78" t="s">
        <v>66</v>
      </c>
      <c r="C129" s="31"/>
      <c r="D129" s="32"/>
      <c r="E129" s="5"/>
      <c r="F129" s="165">
        <v>1</v>
      </c>
      <c r="G129" s="142">
        <f t="shared" si="21"/>
        <v>0</v>
      </c>
      <c r="H129" s="5">
        <f t="shared" si="22"/>
        <v>0</v>
      </c>
      <c r="I129" s="64">
        <v>1</v>
      </c>
      <c r="J129" s="142">
        <f t="shared" si="23"/>
        <v>0</v>
      </c>
      <c r="K129" s="5">
        <f t="shared" si="24"/>
        <v>0</v>
      </c>
      <c r="L129" s="64">
        <v>1</v>
      </c>
      <c r="M129" s="142">
        <f t="shared" si="25"/>
        <v>0</v>
      </c>
      <c r="N129" s="55"/>
    </row>
    <row r="130" spans="1:14" ht="22.5" hidden="1">
      <c r="A130" s="50"/>
      <c r="B130" s="74" t="s">
        <v>71</v>
      </c>
      <c r="C130" s="3" t="s">
        <v>401</v>
      </c>
      <c r="D130" s="6"/>
      <c r="E130" s="5"/>
      <c r="F130" s="165">
        <v>1</v>
      </c>
      <c r="G130" s="142">
        <f t="shared" si="21"/>
        <v>0</v>
      </c>
      <c r="H130" s="5">
        <f t="shared" si="22"/>
        <v>0</v>
      </c>
      <c r="I130" s="64">
        <v>1</v>
      </c>
      <c r="J130" s="142">
        <f t="shared" si="23"/>
        <v>0</v>
      </c>
      <c r="K130" s="5">
        <f t="shared" si="24"/>
        <v>0</v>
      </c>
      <c r="L130" s="64">
        <v>1</v>
      </c>
      <c r="M130" s="142">
        <f t="shared" si="25"/>
        <v>0</v>
      </c>
      <c r="N130" s="52"/>
    </row>
    <row r="131" spans="1:14" ht="22.5" hidden="1">
      <c r="A131" s="50"/>
      <c r="B131" s="74" t="s">
        <v>72</v>
      </c>
      <c r="C131" s="3" t="s">
        <v>401</v>
      </c>
      <c r="D131" s="6"/>
      <c r="E131" s="5"/>
      <c r="F131" s="165">
        <v>1</v>
      </c>
      <c r="G131" s="142">
        <f t="shared" si="21"/>
        <v>0</v>
      </c>
      <c r="H131" s="5">
        <f t="shared" si="22"/>
        <v>0</v>
      </c>
      <c r="I131" s="64">
        <v>1</v>
      </c>
      <c r="J131" s="142">
        <f t="shared" si="23"/>
        <v>0</v>
      </c>
      <c r="K131" s="5">
        <f t="shared" si="24"/>
        <v>0</v>
      </c>
      <c r="L131" s="64">
        <v>1</v>
      </c>
      <c r="M131" s="142">
        <f t="shared" si="25"/>
        <v>0</v>
      </c>
      <c r="N131" s="52"/>
    </row>
    <row r="132" spans="1:14" ht="22.5" hidden="1">
      <c r="A132" s="50"/>
      <c r="B132" s="74" t="s">
        <v>73</v>
      </c>
      <c r="C132" s="3" t="s">
        <v>402</v>
      </c>
      <c r="D132" s="6"/>
      <c r="E132" s="5"/>
      <c r="F132" s="165">
        <v>1</v>
      </c>
      <c r="G132" s="142">
        <f t="shared" si="21"/>
        <v>0</v>
      </c>
      <c r="H132" s="5">
        <f t="shared" si="22"/>
        <v>0</v>
      </c>
      <c r="I132" s="64">
        <v>1</v>
      </c>
      <c r="J132" s="142">
        <f t="shared" si="23"/>
        <v>0</v>
      </c>
      <c r="K132" s="5">
        <f t="shared" si="24"/>
        <v>0</v>
      </c>
      <c r="L132" s="64">
        <v>1</v>
      </c>
      <c r="M132" s="142">
        <f t="shared" si="25"/>
        <v>0</v>
      </c>
      <c r="N132" s="52"/>
    </row>
    <row r="133" spans="1:14" ht="22.5" hidden="1">
      <c r="A133" s="50"/>
      <c r="B133" s="74" t="s">
        <v>74</v>
      </c>
      <c r="C133" s="3" t="s">
        <v>402</v>
      </c>
      <c r="D133" s="6"/>
      <c r="E133" s="5"/>
      <c r="F133" s="165">
        <v>1</v>
      </c>
      <c r="G133" s="142">
        <f t="shared" si="21"/>
        <v>0</v>
      </c>
      <c r="H133" s="5">
        <f t="shared" si="22"/>
        <v>0</v>
      </c>
      <c r="I133" s="64">
        <v>1</v>
      </c>
      <c r="J133" s="142">
        <f t="shared" si="23"/>
        <v>0</v>
      </c>
      <c r="K133" s="5">
        <f t="shared" si="24"/>
        <v>0</v>
      </c>
      <c r="L133" s="64">
        <v>1</v>
      </c>
      <c r="M133" s="142">
        <f t="shared" si="25"/>
        <v>0</v>
      </c>
      <c r="N133" s="52"/>
    </row>
    <row r="134" spans="1:14" ht="22.5" hidden="1">
      <c r="A134" s="50"/>
      <c r="B134" s="74" t="s">
        <v>75</v>
      </c>
      <c r="C134" s="3" t="s">
        <v>401</v>
      </c>
      <c r="D134" s="6"/>
      <c r="E134" s="5"/>
      <c r="F134" s="165">
        <v>1</v>
      </c>
      <c r="G134" s="142">
        <f t="shared" si="21"/>
        <v>0</v>
      </c>
      <c r="H134" s="5">
        <f t="shared" si="22"/>
        <v>0</v>
      </c>
      <c r="I134" s="64">
        <v>1</v>
      </c>
      <c r="J134" s="142">
        <f t="shared" si="23"/>
        <v>0</v>
      </c>
      <c r="K134" s="5">
        <f t="shared" si="24"/>
        <v>0</v>
      </c>
      <c r="L134" s="64">
        <v>1</v>
      </c>
      <c r="M134" s="142">
        <f t="shared" si="25"/>
        <v>0</v>
      </c>
      <c r="N134" s="52"/>
    </row>
    <row r="135" spans="1:14" ht="22.5" hidden="1">
      <c r="A135" s="50"/>
      <c r="B135" s="74" t="s">
        <v>76</v>
      </c>
      <c r="C135" s="3" t="s">
        <v>401</v>
      </c>
      <c r="D135" s="6"/>
      <c r="E135" s="5"/>
      <c r="F135" s="165">
        <v>1</v>
      </c>
      <c r="G135" s="142">
        <f t="shared" si="21"/>
        <v>0</v>
      </c>
      <c r="H135" s="5">
        <f t="shared" si="22"/>
        <v>0</v>
      </c>
      <c r="I135" s="64">
        <v>1</v>
      </c>
      <c r="J135" s="142">
        <f t="shared" si="23"/>
        <v>0</v>
      </c>
      <c r="K135" s="5">
        <f t="shared" si="24"/>
        <v>0</v>
      </c>
      <c r="L135" s="64">
        <v>1</v>
      </c>
      <c r="M135" s="142">
        <f t="shared" si="25"/>
        <v>0</v>
      </c>
      <c r="N135" s="52"/>
    </row>
    <row r="136" spans="1:14" ht="22.5" hidden="1">
      <c r="A136" s="50"/>
      <c r="B136" s="74" t="s">
        <v>77</v>
      </c>
      <c r="C136" s="3" t="s">
        <v>401</v>
      </c>
      <c r="D136" s="6"/>
      <c r="E136" s="5"/>
      <c r="F136" s="165">
        <v>1</v>
      </c>
      <c r="G136" s="142">
        <f t="shared" si="21"/>
        <v>0</v>
      </c>
      <c r="H136" s="5">
        <f t="shared" si="22"/>
        <v>0</v>
      </c>
      <c r="I136" s="64">
        <v>1</v>
      </c>
      <c r="J136" s="142">
        <f t="shared" si="23"/>
        <v>0</v>
      </c>
      <c r="K136" s="5">
        <f t="shared" si="24"/>
        <v>0</v>
      </c>
      <c r="L136" s="64">
        <v>1</v>
      </c>
      <c r="M136" s="142">
        <f t="shared" si="25"/>
        <v>0</v>
      </c>
      <c r="N136" s="52"/>
    </row>
    <row r="137" spans="1:14" ht="22.5" hidden="1">
      <c r="A137" s="50"/>
      <c r="B137" s="74" t="s">
        <v>78</v>
      </c>
      <c r="C137" s="3" t="s">
        <v>403</v>
      </c>
      <c r="D137" s="6"/>
      <c r="E137" s="5"/>
      <c r="F137" s="165">
        <v>1</v>
      </c>
      <c r="G137" s="142">
        <f t="shared" si="21"/>
        <v>0</v>
      </c>
      <c r="H137" s="5">
        <f t="shared" si="22"/>
        <v>0</v>
      </c>
      <c r="I137" s="64">
        <v>1</v>
      </c>
      <c r="J137" s="142">
        <f t="shared" si="23"/>
        <v>0</v>
      </c>
      <c r="K137" s="5">
        <f t="shared" si="24"/>
        <v>0</v>
      </c>
      <c r="L137" s="64">
        <v>1</v>
      </c>
      <c r="M137" s="142">
        <f t="shared" si="25"/>
        <v>0</v>
      </c>
      <c r="N137" s="52"/>
    </row>
    <row r="138" spans="1:14" ht="22.5" hidden="1">
      <c r="A138" s="50"/>
      <c r="B138" s="74" t="s">
        <v>79</v>
      </c>
      <c r="C138" s="3" t="s">
        <v>401</v>
      </c>
      <c r="D138" s="6"/>
      <c r="E138" s="5"/>
      <c r="F138" s="165">
        <v>1</v>
      </c>
      <c r="G138" s="142">
        <f t="shared" si="21"/>
        <v>0</v>
      </c>
      <c r="H138" s="5">
        <f t="shared" si="22"/>
        <v>0</v>
      </c>
      <c r="I138" s="64">
        <v>1</v>
      </c>
      <c r="J138" s="142">
        <f t="shared" si="23"/>
        <v>0</v>
      </c>
      <c r="K138" s="5">
        <f t="shared" si="24"/>
        <v>0</v>
      </c>
      <c r="L138" s="64">
        <v>1</v>
      </c>
      <c r="M138" s="142">
        <f t="shared" si="25"/>
        <v>0</v>
      </c>
      <c r="N138" s="52"/>
    </row>
    <row r="139" spans="1:14" ht="22.5" hidden="1">
      <c r="A139" s="50"/>
      <c r="B139" s="74" t="s">
        <v>80</v>
      </c>
      <c r="C139" s="3" t="s">
        <v>403</v>
      </c>
      <c r="D139" s="6"/>
      <c r="E139" s="5"/>
      <c r="F139" s="165">
        <v>1</v>
      </c>
      <c r="G139" s="142">
        <f t="shared" si="21"/>
        <v>0</v>
      </c>
      <c r="H139" s="5">
        <f t="shared" si="22"/>
        <v>0</v>
      </c>
      <c r="I139" s="64">
        <v>1</v>
      </c>
      <c r="J139" s="142">
        <f t="shared" si="23"/>
        <v>0</v>
      </c>
      <c r="K139" s="5">
        <f t="shared" si="24"/>
        <v>0</v>
      </c>
      <c r="L139" s="64">
        <v>1</v>
      </c>
      <c r="M139" s="142">
        <f t="shared" si="25"/>
        <v>0</v>
      </c>
      <c r="N139" s="52"/>
    </row>
    <row r="140" spans="1:14" ht="33.75" hidden="1">
      <c r="A140" s="50"/>
      <c r="B140" s="74" t="s">
        <v>81</v>
      </c>
      <c r="C140" s="3" t="s">
        <v>82</v>
      </c>
      <c r="D140" s="6"/>
      <c r="E140" s="5"/>
      <c r="F140" s="165">
        <v>1</v>
      </c>
      <c r="G140" s="142">
        <f t="shared" si="21"/>
        <v>0</v>
      </c>
      <c r="H140" s="5">
        <f t="shared" si="22"/>
        <v>0</v>
      </c>
      <c r="I140" s="64">
        <v>1</v>
      </c>
      <c r="J140" s="142">
        <f t="shared" si="23"/>
        <v>0</v>
      </c>
      <c r="K140" s="5">
        <f t="shared" si="24"/>
        <v>0</v>
      </c>
      <c r="L140" s="64">
        <v>1</v>
      </c>
      <c r="M140" s="142">
        <f t="shared" si="25"/>
        <v>0</v>
      </c>
      <c r="N140" s="52"/>
    </row>
    <row r="141" spans="1:14" ht="45">
      <c r="A141" s="50">
        <v>47</v>
      </c>
      <c r="B141" s="74" t="s">
        <v>524</v>
      </c>
      <c r="C141" s="3" t="s">
        <v>335</v>
      </c>
      <c r="D141" s="27">
        <v>33909</v>
      </c>
      <c r="E141" s="5">
        <v>33909</v>
      </c>
      <c r="F141" s="165">
        <v>1</v>
      </c>
      <c r="G141" s="142">
        <f t="shared" si="21"/>
        <v>33909</v>
      </c>
      <c r="H141" s="5">
        <f t="shared" si="22"/>
        <v>33909</v>
      </c>
      <c r="I141" s="64">
        <v>1</v>
      </c>
      <c r="J141" s="142">
        <f t="shared" si="23"/>
        <v>33909</v>
      </c>
      <c r="K141" s="5">
        <f t="shared" si="24"/>
        <v>33909</v>
      </c>
      <c r="L141" s="64">
        <v>1</v>
      </c>
      <c r="M141" s="142">
        <f t="shared" si="25"/>
        <v>33909</v>
      </c>
      <c r="N141" s="54" t="s">
        <v>525</v>
      </c>
    </row>
    <row r="142" spans="1:36" s="10" customFormat="1" ht="12">
      <c r="A142" s="33"/>
      <c r="B142" s="79" t="s">
        <v>147</v>
      </c>
      <c r="C142" s="69"/>
      <c r="D142" s="15">
        <f>ROUNDDOWN(SUM(D83:D141),2)</f>
        <v>471456</v>
      </c>
      <c r="E142" s="15">
        <f aca="true" t="shared" si="27" ref="E142:K142">ROUNDDOWN(SUM(E83:E141),2)</f>
        <v>471456</v>
      </c>
      <c r="F142" s="15"/>
      <c r="G142" s="15">
        <f>ROUNDDOWN(SUM(G83:G141),0)</f>
        <v>471456</v>
      </c>
      <c r="H142" s="15">
        <f t="shared" si="27"/>
        <v>471456</v>
      </c>
      <c r="I142" s="15"/>
      <c r="J142" s="15">
        <f>ROUNDDOWN(SUM(J83:J141),0)</f>
        <v>471456</v>
      </c>
      <c r="K142" s="15">
        <f t="shared" si="27"/>
        <v>471456</v>
      </c>
      <c r="L142" s="15"/>
      <c r="M142" s="15">
        <f>ROUNDDOWN(SUM(M83:M141),0)</f>
        <v>471456</v>
      </c>
      <c r="N142" s="56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</row>
    <row r="143" spans="1:14" ht="12">
      <c r="A143" s="84" t="s">
        <v>384</v>
      </c>
      <c r="B143" s="85"/>
      <c r="C143" s="86"/>
      <c r="D143" s="87"/>
      <c r="E143" s="88"/>
      <c r="F143" s="89"/>
      <c r="G143" s="90"/>
      <c r="H143" s="88"/>
      <c r="I143" s="89"/>
      <c r="J143" s="90"/>
      <c r="K143" s="88"/>
      <c r="L143" s="89"/>
      <c r="M143" s="90"/>
      <c r="N143" s="91"/>
    </row>
    <row r="144" spans="1:14" ht="36">
      <c r="A144" s="72">
        <v>1</v>
      </c>
      <c r="B144" s="502" t="s">
        <v>85</v>
      </c>
      <c r="C144" s="162" t="s">
        <v>243</v>
      </c>
      <c r="D144" s="163">
        <v>6190.28</v>
      </c>
      <c r="E144" s="164">
        <v>6190.28</v>
      </c>
      <c r="F144" s="165">
        <v>1</v>
      </c>
      <c r="G144" s="142">
        <f>ROUND(E144*F144,0)</f>
        <v>6190</v>
      </c>
      <c r="H144" s="164">
        <f>G144</f>
        <v>6190</v>
      </c>
      <c r="I144" s="141">
        <v>1</v>
      </c>
      <c r="J144" s="142">
        <f>ROUND(H144*I144,0)</f>
        <v>6190</v>
      </c>
      <c r="K144" s="164">
        <f>J144</f>
        <v>6190</v>
      </c>
      <c r="L144" s="165">
        <v>1</v>
      </c>
      <c r="M144" s="142">
        <f>ROUND(K144*L144,0)</f>
        <v>6190</v>
      </c>
      <c r="N144" s="503" t="s">
        <v>518</v>
      </c>
    </row>
    <row r="145" spans="1:14" ht="36">
      <c r="A145" s="71">
        <f>A144+1</f>
        <v>2</v>
      </c>
      <c r="B145" s="75" t="s">
        <v>461</v>
      </c>
      <c r="C145" s="3" t="s">
        <v>243</v>
      </c>
      <c r="D145" s="6"/>
      <c r="E145" s="5"/>
      <c r="F145" s="165">
        <v>1</v>
      </c>
      <c r="G145" s="142">
        <f aca="true" t="shared" si="28" ref="G145:G200">ROUND(E145*F145,0)</f>
        <v>0</v>
      </c>
      <c r="H145" s="5">
        <f aca="true" t="shared" si="29" ref="H145:H206">G145</f>
        <v>0</v>
      </c>
      <c r="I145" s="64">
        <v>1</v>
      </c>
      <c r="J145" s="142">
        <f aca="true" t="shared" si="30" ref="J145:J200">ROUND(H145*I145,0)</f>
        <v>0</v>
      </c>
      <c r="K145" s="5">
        <f>J145</f>
        <v>0</v>
      </c>
      <c r="L145" s="63">
        <v>1</v>
      </c>
      <c r="M145" s="142">
        <f aca="true" t="shared" si="31" ref="M145:M200">ROUND(K145*L145,0)</f>
        <v>0</v>
      </c>
      <c r="N145" s="52"/>
    </row>
    <row r="146" spans="1:14" ht="24">
      <c r="A146" s="71">
        <f aca="true" t="shared" si="32" ref="A146:A169">A145+1</f>
        <v>3</v>
      </c>
      <c r="B146" s="74" t="s">
        <v>341</v>
      </c>
      <c r="C146" s="3" t="s">
        <v>134</v>
      </c>
      <c r="D146" s="6">
        <v>21920.96</v>
      </c>
      <c r="E146" s="5">
        <v>21920.96</v>
      </c>
      <c r="F146" s="165">
        <v>1</v>
      </c>
      <c r="G146" s="142">
        <f t="shared" si="28"/>
        <v>21921</v>
      </c>
      <c r="H146" s="5">
        <f t="shared" si="29"/>
        <v>21921</v>
      </c>
      <c r="I146" s="64">
        <v>1</v>
      </c>
      <c r="J146" s="142">
        <f t="shared" si="30"/>
        <v>21921</v>
      </c>
      <c r="K146" s="5">
        <f aca="true" t="shared" si="33" ref="K146:K198">J146</f>
        <v>21921</v>
      </c>
      <c r="L146" s="63">
        <v>1</v>
      </c>
      <c r="M146" s="142">
        <f t="shared" si="31"/>
        <v>21921</v>
      </c>
      <c r="N146" s="52" t="s">
        <v>526</v>
      </c>
    </row>
    <row r="147" spans="1:14" ht="36">
      <c r="A147" s="71">
        <f t="shared" si="32"/>
        <v>4</v>
      </c>
      <c r="B147" s="74" t="s">
        <v>367</v>
      </c>
      <c r="C147" s="3" t="s">
        <v>88</v>
      </c>
      <c r="D147" s="6"/>
      <c r="E147" s="5"/>
      <c r="F147" s="165">
        <v>1</v>
      </c>
      <c r="G147" s="142">
        <f t="shared" si="28"/>
        <v>0</v>
      </c>
      <c r="H147" s="5">
        <f t="shared" si="29"/>
        <v>0</v>
      </c>
      <c r="I147" s="64">
        <v>1</v>
      </c>
      <c r="J147" s="142">
        <f t="shared" si="30"/>
        <v>0</v>
      </c>
      <c r="K147" s="5">
        <f t="shared" si="33"/>
        <v>0</v>
      </c>
      <c r="L147" s="63">
        <v>1</v>
      </c>
      <c r="M147" s="142">
        <f t="shared" si="31"/>
        <v>0</v>
      </c>
      <c r="N147" s="52"/>
    </row>
    <row r="148" spans="1:14" ht="24">
      <c r="A148" s="71">
        <f t="shared" si="32"/>
        <v>5</v>
      </c>
      <c r="B148" s="74" t="s">
        <v>96</v>
      </c>
      <c r="C148" s="3" t="s">
        <v>87</v>
      </c>
      <c r="D148" s="6"/>
      <c r="E148" s="5"/>
      <c r="F148" s="165">
        <v>1</v>
      </c>
      <c r="G148" s="142">
        <f t="shared" si="28"/>
        <v>0</v>
      </c>
      <c r="H148" s="5">
        <f t="shared" si="29"/>
        <v>0</v>
      </c>
      <c r="I148" s="64">
        <v>1</v>
      </c>
      <c r="J148" s="142">
        <f t="shared" si="30"/>
        <v>0</v>
      </c>
      <c r="K148" s="5">
        <f t="shared" si="33"/>
        <v>0</v>
      </c>
      <c r="L148" s="63">
        <v>1</v>
      </c>
      <c r="M148" s="142">
        <f t="shared" si="31"/>
        <v>0</v>
      </c>
      <c r="N148" s="52"/>
    </row>
    <row r="149" spans="1:14" ht="24">
      <c r="A149" s="71">
        <f t="shared" si="32"/>
        <v>6</v>
      </c>
      <c r="B149" s="74" t="s">
        <v>389</v>
      </c>
      <c r="C149" s="3" t="s">
        <v>88</v>
      </c>
      <c r="D149" s="6"/>
      <c r="E149" s="5"/>
      <c r="F149" s="165">
        <v>1</v>
      </c>
      <c r="G149" s="142">
        <f t="shared" si="28"/>
        <v>0</v>
      </c>
      <c r="H149" s="5">
        <f t="shared" si="29"/>
        <v>0</v>
      </c>
      <c r="I149" s="64">
        <v>1</v>
      </c>
      <c r="J149" s="142">
        <f t="shared" si="30"/>
        <v>0</v>
      </c>
      <c r="K149" s="5">
        <f t="shared" si="33"/>
        <v>0</v>
      </c>
      <c r="L149" s="63">
        <v>1</v>
      </c>
      <c r="M149" s="142">
        <f t="shared" si="31"/>
        <v>0</v>
      </c>
      <c r="N149" s="52"/>
    </row>
    <row r="150" spans="1:14" ht="24">
      <c r="A150" s="71">
        <f t="shared" si="32"/>
        <v>7</v>
      </c>
      <c r="B150" s="74" t="s">
        <v>119</v>
      </c>
      <c r="C150" s="3" t="s">
        <v>88</v>
      </c>
      <c r="D150" s="6">
        <v>1600</v>
      </c>
      <c r="E150" s="5">
        <v>1600</v>
      </c>
      <c r="F150" s="165">
        <v>1</v>
      </c>
      <c r="G150" s="142">
        <f t="shared" si="28"/>
        <v>1600</v>
      </c>
      <c r="H150" s="5">
        <f t="shared" si="29"/>
        <v>1600</v>
      </c>
      <c r="I150" s="64">
        <v>1</v>
      </c>
      <c r="J150" s="142">
        <f t="shared" si="30"/>
        <v>1600</v>
      </c>
      <c r="K150" s="5">
        <f t="shared" si="33"/>
        <v>1600</v>
      </c>
      <c r="L150" s="63">
        <v>1</v>
      </c>
      <c r="M150" s="142">
        <f t="shared" si="31"/>
        <v>1600</v>
      </c>
      <c r="N150" s="52" t="s">
        <v>528</v>
      </c>
    </row>
    <row r="151" spans="1:14" ht="12">
      <c r="A151" s="71">
        <f t="shared" si="32"/>
        <v>8</v>
      </c>
      <c r="B151" s="74" t="s">
        <v>90</v>
      </c>
      <c r="C151" s="3" t="s">
        <v>18</v>
      </c>
      <c r="D151" s="6">
        <v>774868</v>
      </c>
      <c r="E151" s="5">
        <v>729328</v>
      </c>
      <c r="F151" s="165">
        <v>1</v>
      </c>
      <c r="G151" s="142">
        <f t="shared" si="28"/>
        <v>729328</v>
      </c>
      <c r="H151" s="5">
        <f t="shared" si="29"/>
        <v>729328</v>
      </c>
      <c r="I151" s="64">
        <v>1</v>
      </c>
      <c r="J151" s="142">
        <f t="shared" si="30"/>
        <v>729328</v>
      </c>
      <c r="K151" s="5">
        <f t="shared" si="33"/>
        <v>729328</v>
      </c>
      <c r="L151" s="63">
        <v>1</v>
      </c>
      <c r="M151" s="142">
        <f t="shared" si="31"/>
        <v>729328</v>
      </c>
      <c r="N151" s="52" t="s">
        <v>898</v>
      </c>
    </row>
    <row r="152" spans="1:14" ht="24">
      <c r="A152" s="71">
        <f>A151+1</f>
        <v>9</v>
      </c>
      <c r="B152" s="94" t="s">
        <v>396</v>
      </c>
      <c r="C152" s="3" t="s">
        <v>391</v>
      </c>
      <c r="D152" s="6">
        <v>33600</v>
      </c>
      <c r="E152" s="5">
        <v>33600</v>
      </c>
      <c r="F152" s="165">
        <v>1</v>
      </c>
      <c r="G152" s="142">
        <f t="shared" si="28"/>
        <v>33600</v>
      </c>
      <c r="H152" s="5">
        <f t="shared" si="29"/>
        <v>33600</v>
      </c>
      <c r="I152" s="64">
        <v>1</v>
      </c>
      <c r="J152" s="142">
        <f t="shared" si="30"/>
        <v>33600</v>
      </c>
      <c r="K152" s="5">
        <f t="shared" si="33"/>
        <v>33600</v>
      </c>
      <c r="L152" s="63">
        <v>1</v>
      </c>
      <c r="M152" s="142">
        <f t="shared" si="31"/>
        <v>33600</v>
      </c>
      <c r="N152" s="52" t="s">
        <v>527</v>
      </c>
    </row>
    <row r="153" spans="1:14" ht="12">
      <c r="A153" s="71">
        <f t="shared" si="32"/>
        <v>10</v>
      </c>
      <c r="B153" s="74" t="s">
        <v>368</v>
      </c>
      <c r="C153" s="3" t="s">
        <v>18</v>
      </c>
      <c r="D153" s="6"/>
      <c r="E153" s="5"/>
      <c r="F153" s="165">
        <v>1</v>
      </c>
      <c r="G153" s="142">
        <f t="shared" si="28"/>
        <v>0</v>
      </c>
      <c r="H153" s="5">
        <f t="shared" si="29"/>
        <v>0</v>
      </c>
      <c r="I153" s="64">
        <v>1</v>
      </c>
      <c r="J153" s="142">
        <f t="shared" si="30"/>
        <v>0</v>
      </c>
      <c r="K153" s="5">
        <f t="shared" si="33"/>
        <v>0</v>
      </c>
      <c r="L153" s="63">
        <v>1</v>
      </c>
      <c r="M153" s="142">
        <f t="shared" si="31"/>
        <v>0</v>
      </c>
      <c r="N153" s="52"/>
    </row>
    <row r="154" spans="1:14" ht="33.75">
      <c r="A154" s="71">
        <v>12</v>
      </c>
      <c r="B154" s="74" t="s">
        <v>105</v>
      </c>
      <c r="C154" s="34" t="s">
        <v>502</v>
      </c>
      <c r="D154" s="6"/>
      <c r="E154" s="5"/>
      <c r="F154" s="165">
        <v>1</v>
      </c>
      <c r="G154" s="142">
        <f t="shared" si="28"/>
        <v>0</v>
      </c>
      <c r="H154" s="5">
        <f t="shared" si="29"/>
        <v>0</v>
      </c>
      <c r="I154" s="64">
        <v>1</v>
      </c>
      <c r="J154" s="142">
        <f t="shared" si="30"/>
        <v>0</v>
      </c>
      <c r="K154" s="5">
        <f t="shared" si="33"/>
        <v>0</v>
      </c>
      <c r="L154" s="63">
        <v>1</v>
      </c>
      <c r="M154" s="142">
        <f t="shared" si="31"/>
        <v>0</v>
      </c>
      <c r="N154" s="52"/>
    </row>
    <row r="155" spans="1:14" ht="22.5">
      <c r="A155" s="71">
        <f>A154+1</f>
        <v>13</v>
      </c>
      <c r="B155" s="74" t="s">
        <v>95</v>
      </c>
      <c r="C155" s="3" t="s">
        <v>87</v>
      </c>
      <c r="D155" s="6">
        <v>90820</v>
      </c>
      <c r="E155" s="5">
        <v>90820</v>
      </c>
      <c r="F155" s="165">
        <v>1</v>
      </c>
      <c r="G155" s="142">
        <f t="shared" si="28"/>
        <v>90820</v>
      </c>
      <c r="H155" s="5">
        <f t="shared" si="29"/>
        <v>90820</v>
      </c>
      <c r="I155" s="64">
        <v>1</v>
      </c>
      <c r="J155" s="142">
        <f t="shared" si="30"/>
        <v>90820</v>
      </c>
      <c r="K155" s="5">
        <f t="shared" si="33"/>
        <v>90820</v>
      </c>
      <c r="L155" s="63">
        <v>1</v>
      </c>
      <c r="M155" s="142">
        <f t="shared" si="31"/>
        <v>90820</v>
      </c>
      <c r="N155" s="493" t="s">
        <v>876</v>
      </c>
    </row>
    <row r="156" spans="1:14" ht="22.5">
      <c r="A156" s="71">
        <f t="shared" si="32"/>
        <v>14</v>
      </c>
      <c r="B156" s="74" t="s">
        <v>347</v>
      </c>
      <c r="C156" s="3" t="s">
        <v>87</v>
      </c>
      <c r="D156" s="6">
        <v>20412</v>
      </c>
      <c r="E156" s="5">
        <v>20412</v>
      </c>
      <c r="F156" s="165">
        <v>1</v>
      </c>
      <c r="G156" s="142">
        <f t="shared" si="28"/>
        <v>20412</v>
      </c>
      <c r="H156" s="5">
        <f t="shared" si="29"/>
        <v>20412</v>
      </c>
      <c r="I156" s="64">
        <v>1</v>
      </c>
      <c r="J156" s="142">
        <f t="shared" si="30"/>
        <v>20412</v>
      </c>
      <c r="K156" s="5">
        <f t="shared" si="33"/>
        <v>20412</v>
      </c>
      <c r="L156" s="63">
        <v>1</v>
      </c>
      <c r="M156" s="142">
        <f t="shared" si="31"/>
        <v>20412</v>
      </c>
      <c r="N156" s="493" t="s">
        <v>877</v>
      </c>
    </row>
    <row r="157" spans="1:14" ht="27" customHeight="1">
      <c r="A157" s="71">
        <f>A156+1</f>
        <v>15</v>
      </c>
      <c r="B157" s="74" t="s">
        <v>449</v>
      </c>
      <c r="C157" s="3" t="s">
        <v>87</v>
      </c>
      <c r="D157" s="6"/>
      <c r="E157" s="5"/>
      <c r="F157" s="165">
        <v>1</v>
      </c>
      <c r="G157" s="142">
        <f t="shared" si="28"/>
        <v>0</v>
      </c>
      <c r="H157" s="5">
        <f t="shared" si="29"/>
        <v>0</v>
      </c>
      <c r="I157" s="64">
        <v>1</v>
      </c>
      <c r="J157" s="142">
        <f t="shared" si="30"/>
        <v>0</v>
      </c>
      <c r="K157" s="5">
        <f t="shared" si="33"/>
        <v>0</v>
      </c>
      <c r="L157" s="63">
        <v>1</v>
      </c>
      <c r="M157" s="142">
        <f t="shared" si="31"/>
        <v>0</v>
      </c>
      <c r="N157" s="52"/>
    </row>
    <row r="158" spans="1:14" ht="33.75">
      <c r="A158" s="71">
        <f t="shared" si="32"/>
        <v>16</v>
      </c>
      <c r="B158" s="74" t="s">
        <v>97</v>
      </c>
      <c r="C158" s="3" t="s">
        <v>94</v>
      </c>
      <c r="D158" s="6"/>
      <c r="E158" s="5"/>
      <c r="F158" s="165">
        <v>1</v>
      </c>
      <c r="G158" s="142">
        <f t="shared" si="28"/>
        <v>0</v>
      </c>
      <c r="H158" s="5">
        <f t="shared" si="29"/>
        <v>0</v>
      </c>
      <c r="I158" s="64">
        <v>1</v>
      </c>
      <c r="J158" s="142">
        <f t="shared" si="30"/>
        <v>0</v>
      </c>
      <c r="K158" s="5">
        <f t="shared" si="33"/>
        <v>0</v>
      </c>
      <c r="L158" s="63">
        <v>1</v>
      </c>
      <c r="M158" s="142">
        <f t="shared" si="31"/>
        <v>0</v>
      </c>
      <c r="N158" s="52"/>
    </row>
    <row r="159" spans="1:14" ht="33.75">
      <c r="A159" s="71">
        <f>A158+1</f>
        <v>17</v>
      </c>
      <c r="B159" s="75" t="s">
        <v>318</v>
      </c>
      <c r="C159" s="2" t="s">
        <v>94</v>
      </c>
      <c r="D159" s="25"/>
      <c r="E159" s="26"/>
      <c r="F159" s="165">
        <v>1</v>
      </c>
      <c r="G159" s="142">
        <f t="shared" si="28"/>
        <v>0</v>
      </c>
      <c r="H159" s="26">
        <f t="shared" si="29"/>
        <v>0</v>
      </c>
      <c r="I159" s="64">
        <v>1</v>
      </c>
      <c r="J159" s="142">
        <f t="shared" si="30"/>
        <v>0</v>
      </c>
      <c r="K159" s="26">
        <f t="shared" si="33"/>
        <v>0</v>
      </c>
      <c r="L159" s="64">
        <v>1</v>
      </c>
      <c r="M159" s="142">
        <f t="shared" si="31"/>
        <v>0</v>
      </c>
      <c r="N159" s="53"/>
    </row>
    <row r="160" spans="1:14" ht="36">
      <c r="A160" s="71">
        <f t="shared" si="32"/>
        <v>18</v>
      </c>
      <c r="B160" s="74" t="s">
        <v>395</v>
      </c>
      <c r="C160" s="136" t="s">
        <v>325</v>
      </c>
      <c r="D160" s="6"/>
      <c r="E160" s="5"/>
      <c r="F160" s="165">
        <v>1</v>
      </c>
      <c r="G160" s="142">
        <f t="shared" si="28"/>
        <v>0</v>
      </c>
      <c r="H160" s="5">
        <f t="shared" si="29"/>
        <v>0</v>
      </c>
      <c r="I160" s="63">
        <v>1</v>
      </c>
      <c r="J160" s="142">
        <f t="shared" si="30"/>
        <v>0</v>
      </c>
      <c r="K160" s="5">
        <f t="shared" si="33"/>
        <v>0</v>
      </c>
      <c r="L160" s="63">
        <v>1</v>
      </c>
      <c r="M160" s="142">
        <f t="shared" si="31"/>
        <v>0</v>
      </c>
      <c r="N160" s="52"/>
    </row>
    <row r="161" spans="1:14" ht="67.5">
      <c r="A161" s="71">
        <f>A160+1</f>
        <v>19</v>
      </c>
      <c r="B161" s="74" t="s">
        <v>98</v>
      </c>
      <c r="C161" s="3" t="s">
        <v>459</v>
      </c>
      <c r="D161" s="6"/>
      <c r="E161" s="5"/>
      <c r="F161" s="165">
        <v>1</v>
      </c>
      <c r="G161" s="142">
        <f t="shared" si="28"/>
        <v>0</v>
      </c>
      <c r="H161" s="5">
        <f t="shared" si="29"/>
        <v>0</v>
      </c>
      <c r="I161" s="64">
        <v>1</v>
      </c>
      <c r="J161" s="142">
        <f t="shared" si="30"/>
        <v>0</v>
      </c>
      <c r="K161" s="5">
        <f t="shared" si="33"/>
        <v>0</v>
      </c>
      <c r="L161" s="63">
        <v>1</v>
      </c>
      <c r="M161" s="142">
        <f t="shared" si="31"/>
        <v>0</v>
      </c>
      <c r="N161" s="52"/>
    </row>
    <row r="162" spans="1:14" ht="24">
      <c r="A162" s="71">
        <f t="shared" si="32"/>
        <v>20</v>
      </c>
      <c r="B162" s="74" t="s">
        <v>371</v>
      </c>
      <c r="C162" s="3" t="s">
        <v>156</v>
      </c>
      <c r="D162" s="6"/>
      <c r="E162" s="5"/>
      <c r="F162" s="165">
        <v>1</v>
      </c>
      <c r="G162" s="142">
        <f t="shared" si="28"/>
        <v>0</v>
      </c>
      <c r="H162" s="5">
        <f t="shared" si="29"/>
        <v>0</v>
      </c>
      <c r="I162" s="64">
        <v>1</v>
      </c>
      <c r="J162" s="142">
        <f t="shared" si="30"/>
        <v>0</v>
      </c>
      <c r="K162" s="5">
        <f t="shared" si="33"/>
        <v>0</v>
      </c>
      <c r="L162" s="63">
        <v>1</v>
      </c>
      <c r="M162" s="142">
        <f t="shared" si="31"/>
        <v>0</v>
      </c>
      <c r="N162" s="52"/>
    </row>
    <row r="163" spans="1:14" ht="24">
      <c r="A163" s="71">
        <f t="shared" si="32"/>
        <v>21</v>
      </c>
      <c r="B163" s="75" t="s">
        <v>99</v>
      </c>
      <c r="C163" s="2" t="s">
        <v>106</v>
      </c>
      <c r="D163" s="25"/>
      <c r="E163" s="26"/>
      <c r="F163" s="165">
        <v>1</v>
      </c>
      <c r="G163" s="142">
        <f t="shared" si="28"/>
        <v>0</v>
      </c>
      <c r="H163" s="26">
        <f t="shared" si="29"/>
        <v>0</v>
      </c>
      <c r="I163" s="64">
        <v>1</v>
      </c>
      <c r="J163" s="142">
        <f t="shared" si="30"/>
        <v>0</v>
      </c>
      <c r="K163" s="26">
        <f t="shared" si="33"/>
        <v>0</v>
      </c>
      <c r="L163" s="64">
        <v>1</v>
      </c>
      <c r="M163" s="142">
        <f t="shared" si="31"/>
        <v>0</v>
      </c>
      <c r="N163" s="53"/>
    </row>
    <row r="164" spans="1:14" ht="24">
      <c r="A164" s="71">
        <f t="shared" si="32"/>
        <v>22</v>
      </c>
      <c r="B164" s="74" t="s">
        <v>100</v>
      </c>
      <c r="C164" s="3" t="s">
        <v>106</v>
      </c>
      <c r="D164" s="6"/>
      <c r="E164" s="5"/>
      <c r="F164" s="165">
        <v>1</v>
      </c>
      <c r="G164" s="142">
        <f t="shared" si="28"/>
        <v>0</v>
      </c>
      <c r="H164" s="5">
        <f t="shared" si="29"/>
        <v>0</v>
      </c>
      <c r="I164" s="63">
        <v>1</v>
      </c>
      <c r="J164" s="142">
        <f t="shared" si="30"/>
        <v>0</v>
      </c>
      <c r="K164" s="5">
        <f t="shared" si="33"/>
        <v>0</v>
      </c>
      <c r="L164" s="63">
        <v>1</v>
      </c>
      <c r="M164" s="142">
        <f t="shared" si="31"/>
        <v>0</v>
      </c>
      <c r="N164" s="52"/>
    </row>
    <row r="165" spans="1:14" ht="12">
      <c r="A165" s="71">
        <f t="shared" si="32"/>
        <v>23</v>
      </c>
      <c r="B165" s="196" t="s">
        <v>101</v>
      </c>
      <c r="C165" s="162" t="s">
        <v>106</v>
      </c>
      <c r="D165" s="163"/>
      <c r="E165" s="164"/>
      <c r="F165" s="165">
        <v>1</v>
      </c>
      <c r="G165" s="142">
        <f t="shared" si="28"/>
        <v>0</v>
      </c>
      <c r="H165" s="164">
        <f>G165</f>
        <v>0</v>
      </c>
      <c r="I165" s="141">
        <v>1</v>
      </c>
      <c r="J165" s="142">
        <f t="shared" si="30"/>
        <v>0</v>
      </c>
      <c r="K165" s="164">
        <f t="shared" si="33"/>
        <v>0</v>
      </c>
      <c r="L165" s="165">
        <v>1</v>
      </c>
      <c r="M165" s="142">
        <f t="shared" si="31"/>
        <v>0</v>
      </c>
      <c r="N165" s="166"/>
    </row>
    <row r="166" spans="1:14" ht="12">
      <c r="A166" s="71">
        <f t="shared" si="32"/>
        <v>24</v>
      </c>
      <c r="B166" s="74" t="s">
        <v>102</v>
      </c>
      <c r="C166" s="3" t="s">
        <v>106</v>
      </c>
      <c r="D166" s="6"/>
      <c r="E166" s="5"/>
      <c r="F166" s="165">
        <v>1</v>
      </c>
      <c r="G166" s="142">
        <f t="shared" si="28"/>
        <v>0</v>
      </c>
      <c r="H166" s="5">
        <f t="shared" si="29"/>
        <v>0</v>
      </c>
      <c r="I166" s="64">
        <v>1</v>
      </c>
      <c r="J166" s="142">
        <f t="shared" si="30"/>
        <v>0</v>
      </c>
      <c r="K166" s="5">
        <f t="shared" si="33"/>
        <v>0</v>
      </c>
      <c r="L166" s="63">
        <v>1</v>
      </c>
      <c r="M166" s="142">
        <f t="shared" si="31"/>
        <v>0</v>
      </c>
      <c r="N166" s="52"/>
    </row>
    <row r="167" spans="1:14" ht="24">
      <c r="A167" s="71">
        <f t="shared" si="32"/>
        <v>25</v>
      </c>
      <c r="B167" s="74" t="s">
        <v>103</v>
      </c>
      <c r="C167" s="3" t="s">
        <v>106</v>
      </c>
      <c r="D167" s="6"/>
      <c r="E167" s="5"/>
      <c r="F167" s="165">
        <v>1</v>
      </c>
      <c r="G167" s="142">
        <f t="shared" si="28"/>
        <v>0</v>
      </c>
      <c r="H167" s="5">
        <f t="shared" si="29"/>
        <v>0</v>
      </c>
      <c r="I167" s="64">
        <v>1</v>
      </c>
      <c r="J167" s="142">
        <f t="shared" si="30"/>
        <v>0</v>
      </c>
      <c r="K167" s="5">
        <f t="shared" si="33"/>
        <v>0</v>
      </c>
      <c r="L167" s="63">
        <v>1</v>
      </c>
      <c r="M167" s="142">
        <f t="shared" si="31"/>
        <v>0</v>
      </c>
      <c r="N167" s="52"/>
    </row>
    <row r="168" spans="1:14" ht="12">
      <c r="A168" s="71">
        <f t="shared" si="32"/>
        <v>26</v>
      </c>
      <c r="B168" s="74" t="s">
        <v>104</v>
      </c>
      <c r="C168" s="3" t="s">
        <v>106</v>
      </c>
      <c r="D168" s="6"/>
      <c r="E168" s="5"/>
      <c r="F168" s="165">
        <v>1</v>
      </c>
      <c r="G168" s="142">
        <f t="shared" si="28"/>
        <v>0</v>
      </c>
      <c r="H168" s="5">
        <f t="shared" si="29"/>
        <v>0</v>
      </c>
      <c r="I168" s="64">
        <v>1</v>
      </c>
      <c r="J168" s="142">
        <f t="shared" si="30"/>
        <v>0</v>
      </c>
      <c r="K168" s="5">
        <f t="shared" si="33"/>
        <v>0</v>
      </c>
      <c r="L168" s="63">
        <v>1</v>
      </c>
      <c r="M168" s="142">
        <f t="shared" si="31"/>
        <v>0</v>
      </c>
      <c r="N168" s="52"/>
    </row>
    <row r="169" spans="1:14" ht="24">
      <c r="A169" s="71">
        <f t="shared" si="32"/>
        <v>27</v>
      </c>
      <c r="B169" s="74" t="s">
        <v>266</v>
      </c>
      <c r="C169" s="3" t="s">
        <v>106</v>
      </c>
      <c r="D169" s="6"/>
      <c r="E169" s="5"/>
      <c r="F169" s="165">
        <v>1</v>
      </c>
      <c r="G169" s="142">
        <f t="shared" si="28"/>
        <v>0</v>
      </c>
      <c r="H169" s="5">
        <f t="shared" si="29"/>
        <v>0</v>
      </c>
      <c r="I169" s="64">
        <v>1</v>
      </c>
      <c r="J169" s="142">
        <f t="shared" si="30"/>
        <v>0</v>
      </c>
      <c r="K169" s="5">
        <f t="shared" si="33"/>
        <v>0</v>
      </c>
      <c r="L169" s="63">
        <v>1</v>
      </c>
      <c r="M169" s="142">
        <f t="shared" si="31"/>
        <v>0</v>
      </c>
      <c r="N169" s="52"/>
    </row>
    <row r="170" spans="1:14" ht="24">
      <c r="A170" s="71">
        <f>A169+1</f>
        <v>28</v>
      </c>
      <c r="B170" s="74" t="s">
        <v>450</v>
      </c>
      <c r="C170" s="3" t="s">
        <v>106</v>
      </c>
      <c r="D170" s="6">
        <v>10831.08</v>
      </c>
      <c r="E170" s="5">
        <v>10831.08</v>
      </c>
      <c r="F170" s="165">
        <v>1</v>
      </c>
      <c r="G170" s="142">
        <f t="shared" si="28"/>
        <v>10831</v>
      </c>
      <c r="H170" s="5">
        <f t="shared" si="29"/>
        <v>10831</v>
      </c>
      <c r="I170" s="64">
        <v>1</v>
      </c>
      <c r="J170" s="142">
        <f t="shared" si="30"/>
        <v>10831</v>
      </c>
      <c r="K170" s="5">
        <f t="shared" si="33"/>
        <v>10831</v>
      </c>
      <c r="L170" s="63">
        <v>1</v>
      </c>
      <c r="M170" s="142">
        <f t="shared" si="31"/>
        <v>10831</v>
      </c>
      <c r="N170" s="52"/>
    </row>
    <row r="171" spans="1:14" ht="24">
      <c r="A171" s="307">
        <f>A170+1</f>
        <v>29</v>
      </c>
      <c r="B171" s="74" t="s">
        <v>116</v>
      </c>
      <c r="C171" s="3" t="s">
        <v>18</v>
      </c>
      <c r="D171" s="6">
        <v>58381.68</v>
      </c>
      <c r="E171" s="5">
        <v>58381.68</v>
      </c>
      <c r="F171" s="165">
        <v>1</v>
      </c>
      <c r="G171" s="142">
        <f t="shared" si="28"/>
        <v>58382</v>
      </c>
      <c r="H171" s="5">
        <f t="shared" si="29"/>
        <v>58382</v>
      </c>
      <c r="I171" s="64">
        <v>1</v>
      </c>
      <c r="J171" s="142">
        <f t="shared" si="30"/>
        <v>58382</v>
      </c>
      <c r="K171" s="5">
        <f t="shared" si="33"/>
        <v>58382</v>
      </c>
      <c r="L171" s="63">
        <v>1</v>
      </c>
      <c r="M171" s="142">
        <f t="shared" si="31"/>
        <v>58382</v>
      </c>
      <c r="N171" s="52" t="s">
        <v>529</v>
      </c>
    </row>
    <row r="172" spans="1:14" ht="36">
      <c r="A172" s="71">
        <f>A171+1</f>
        <v>30</v>
      </c>
      <c r="B172" s="78" t="s">
        <v>373</v>
      </c>
      <c r="C172" s="31"/>
      <c r="D172" s="32"/>
      <c r="E172" s="5"/>
      <c r="F172" s="165">
        <v>1</v>
      </c>
      <c r="G172" s="142">
        <f t="shared" si="28"/>
        <v>0</v>
      </c>
      <c r="H172" s="5">
        <f t="shared" si="29"/>
        <v>0</v>
      </c>
      <c r="I172" s="64">
        <v>1</v>
      </c>
      <c r="J172" s="142">
        <f t="shared" si="30"/>
        <v>0</v>
      </c>
      <c r="K172" s="5">
        <f t="shared" si="33"/>
        <v>0</v>
      </c>
      <c r="L172" s="63">
        <v>1</v>
      </c>
      <c r="M172" s="142">
        <f t="shared" si="31"/>
        <v>0</v>
      </c>
      <c r="N172" s="55"/>
    </row>
    <row r="173" spans="1:14" ht="12">
      <c r="A173" s="72"/>
      <c r="B173" s="74" t="s">
        <v>261</v>
      </c>
      <c r="C173" s="3" t="s">
        <v>18</v>
      </c>
      <c r="D173" s="6"/>
      <c r="E173" s="5"/>
      <c r="F173" s="165">
        <v>1</v>
      </c>
      <c r="G173" s="142">
        <f t="shared" si="28"/>
        <v>0</v>
      </c>
      <c r="H173" s="5">
        <f t="shared" si="29"/>
        <v>0</v>
      </c>
      <c r="I173" s="64">
        <v>1</v>
      </c>
      <c r="J173" s="142">
        <f t="shared" si="30"/>
        <v>0</v>
      </c>
      <c r="K173" s="5">
        <f t="shared" si="33"/>
        <v>0</v>
      </c>
      <c r="L173" s="63">
        <v>1</v>
      </c>
      <c r="M173" s="142">
        <f t="shared" si="31"/>
        <v>0</v>
      </c>
      <c r="N173" s="52"/>
    </row>
    <row r="174" spans="1:14" ht="12">
      <c r="A174" s="72"/>
      <c r="B174" s="74" t="s">
        <v>262</v>
      </c>
      <c r="C174" s="3" t="s">
        <v>18</v>
      </c>
      <c r="D174" s="6"/>
      <c r="E174" s="5"/>
      <c r="F174" s="165">
        <v>1</v>
      </c>
      <c r="G174" s="142">
        <f t="shared" si="28"/>
        <v>0</v>
      </c>
      <c r="H174" s="5">
        <f t="shared" si="29"/>
        <v>0</v>
      </c>
      <c r="I174" s="64">
        <v>1</v>
      </c>
      <c r="J174" s="142">
        <f t="shared" si="30"/>
        <v>0</v>
      </c>
      <c r="K174" s="5">
        <f t="shared" si="33"/>
        <v>0</v>
      </c>
      <c r="L174" s="63">
        <v>1</v>
      </c>
      <c r="M174" s="142">
        <f t="shared" si="31"/>
        <v>0</v>
      </c>
      <c r="N174" s="52"/>
    </row>
    <row r="175" spans="1:14" ht="12">
      <c r="A175" s="72"/>
      <c r="B175" s="74" t="s">
        <v>263</v>
      </c>
      <c r="C175" s="3" t="s">
        <v>18</v>
      </c>
      <c r="D175" s="6"/>
      <c r="E175" s="5"/>
      <c r="F175" s="165">
        <v>1</v>
      </c>
      <c r="G175" s="142">
        <f t="shared" si="28"/>
        <v>0</v>
      </c>
      <c r="H175" s="5">
        <f t="shared" si="29"/>
        <v>0</v>
      </c>
      <c r="I175" s="64">
        <v>1</v>
      </c>
      <c r="J175" s="142">
        <f t="shared" si="30"/>
        <v>0</v>
      </c>
      <c r="K175" s="5">
        <f t="shared" si="33"/>
        <v>0</v>
      </c>
      <c r="L175" s="63">
        <v>1</v>
      </c>
      <c r="M175" s="142">
        <f t="shared" si="31"/>
        <v>0</v>
      </c>
      <c r="N175" s="52"/>
    </row>
    <row r="176" spans="1:14" ht="12">
      <c r="A176" s="72"/>
      <c r="B176" s="74" t="s">
        <v>438</v>
      </c>
      <c r="C176" s="3" t="s">
        <v>18</v>
      </c>
      <c r="D176" s="6"/>
      <c r="E176" s="5"/>
      <c r="F176" s="165">
        <v>1</v>
      </c>
      <c r="G176" s="142">
        <f t="shared" si="28"/>
        <v>0</v>
      </c>
      <c r="H176" s="5">
        <f t="shared" si="29"/>
        <v>0</v>
      </c>
      <c r="I176" s="64">
        <v>1</v>
      </c>
      <c r="J176" s="142">
        <f t="shared" si="30"/>
        <v>0</v>
      </c>
      <c r="K176" s="5">
        <f t="shared" si="33"/>
        <v>0</v>
      </c>
      <c r="L176" s="63">
        <v>1</v>
      </c>
      <c r="M176" s="142">
        <f t="shared" si="31"/>
        <v>0</v>
      </c>
      <c r="N176" s="52"/>
    </row>
    <row r="177" spans="1:14" ht="12">
      <c r="A177" s="72"/>
      <c r="B177" s="74" t="s">
        <v>436</v>
      </c>
      <c r="C177" s="3" t="s">
        <v>18</v>
      </c>
      <c r="D177" s="6"/>
      <c r="E177" s="5"/>
      <c r="F177" s="165">
        <v>1</v>
      </c>
      <c r="G177" s="142">
        <f t="shared" si="28"/>
        <v>0</v>
      </c>
      <c r="H177" s="5">
        <f t="shared" si="29"/>
        <v>0</v>
      </c>
      <c r="I177" s="64">
        <v>1</v>
      </c>
      <c r="J177" s="142">
        <f t="shared" si="30"/>
        <v>0</v>
      </c>
      <c r="K177" s="5">
        <f t="shared" si="33"/>
        <v>0</v>
      </c>
      <c r="L177" s="63">
        <v>1</v>
      </c>
      <c r="M177" s="142">
        <f t="shared" si="31"/>
        <v>0</v>
      </c>
      <c r="N177" s="52"/>
    </row>
    <row r="178" spans="1:14" ht="12">
      <c r="A178" s="72"/>
      <c r="B178" s="74" t="s">
        <v>482</v>
      </c>
      <c r="C178" s="3" t="s">
        <v>18</v>
      </c>
      <c r="D178" s="6"/>
      <c r="E178" s="5"/>
      <c r="F178" s="165">
        <v>1</v>
      </c>
      <c r="G178" s="142">
        <f t="shared" si="28"/>
        <v>0</v>
      </c>
      <c r="H178" s="5">
        <f t="shared" si="29"/>
        <v>0</v>
      </c>
      <c r="I178" s="64">
        <v>1</v>
      </c>
      <c r="J178" s="142">
        <f t="shared" si="30"/>
        <v>0</v>
      </c>
      <c r="K178" s="5">
        <f t="shared" si="33"/>
        <v>0</v>
      </c>
      <c r="L178" s="63">
        <v>1</v>
      </c>
      <c r="M178" s="142">
        <f t="shared" si="31"/>
        <v>0</v>
      </c>
      <c r="N178" s="52"/>
    </row>
    <row r="179" spans="1:14" ht="33.75">
      <c r="A179" s="73"/>
      <c r="B179" s="74" t="s">
        <v>293</v>
      </c>
      <c r="C179" s="3" t="s">
        <v>264</v>
      </c>
      <c r="D179" s="6">
        <v>5100</v>
      </c>
      <c r="E179" s="5">
        <v>5100</v>
      </c>
      <c r="F179" s="165">
        <v>1</v>
      </c>
      <c r="G179" s="142">
        <f t="shared" si="28"/>
        <v>5100</v>
      </c>
      <c r="H179" s="5">
        <f t="shared" si="29"/>
        <v>5100</v>
      </c>
      <c r="I179" s="64">
        <v>1</v>
      </c>
      <c r="J179" s="142">
        <f t="shared" si="30"/>
        <v>5100</v>
      </c>
      <c r="K179" s="5">
        <f t="shared" si="33"/>
        <v>5100</v>
      </c>
      <c r="L179" s="63">
        <v>1</v>
      </c>
      <c r="M179" s="142">
        <f t="shared" si="31"/>
        <v>5100</v>
      </c>
      <c r="N179" s="52" t="s">
        <v>531</v>
      </c>
    </row>
    <row r="180" spans="1:14" ht="24" customHeight="1">
      <c r="A180" s="50">
        <f>A172+1</f>
        <v>31</v>
      </c>
      <c r="B180" s="74" t="s">
        <v>439</v>
      </c>
      <c r="C180" s="3" t="s">
        <v>502</v>
      </c>
      <c r="D180" s="6"/>
      <c r="E180" s="5"/>
      <c r="F180" s="165">
        <v>1</v>
      </c>
      <c r="G180" s="142">
        <f t="shared" si="28"/>
        <v>0</v>
      </c>
      <c r="H180" s="5">
        <f t="shared" si="29"/>
        <v>0</v>
      </c>
      <c r="I180" s="64">
        <v>1</v>
      </c>
      <c r="J180" s="142">
        <f t="shared" si="30"/>
        <v>0</v>
      </c>
      <c r="K180" s="5">
        <f t="shared" si="33"/>
        <v>0</v>
      </c>
      <c r="L180" s="63">
        <v>1</v>
      </c>
      <c r="M180" s="142">
        <f t="shared" si="31"/>
        <v>0</v>
      </c>
      <c r="N180" s="52"/>
    </row>
    <row r="181" spans="1:14" ht="24" customHeight="1">
      <c r="A181" s="50">
        <f>A180+1</f>
        <v>32</v>
      </c>
      <c r="B181" s="74" t="s">
        <v>440</v>
      </c>
      <c r="C181" s="3" t="s">
        <v>502</v>
      </c>
      <c r="D181" s="6"/>
      <c r="E181" s="5"/>
      <c r="F181" s="165">
        <v>1</v>
      </c>
      <c r="G181" s="142">
        <f t="shared" si="28"/>
        <v>0</v>
      </c>
      <c r="H181" s="5">
        <f t="shared" si="29"/>
        <v>0</v>
      </c>
      <c r="I181" s="64">
        <v>1</v>
      </c>
      <c r="J181" s="142">
        <f t="shared" si="30"/>
        <v>0</v>
      </c>
      <c r="K181" s="5">
        <f t="shared" si="33"/>
        <v>0</v>
      </c>
      <c r="L181" s="63">
        <v>1</v>
      </c>
      <c r="M181" s="142">
        <f t="shared" si="31"/>
        <v>0</v>
      </c>
      <c r="N181" s="52"/>
    </row>
    <row r="182" spans="1:14" ht="24" customHeight="1">
      <c r="A182" s="50">
        <f aca="true" t="shared" si="34" ref="A182:A200">A181+1</f>
        <v>33</v>
      </c>
      <c r="B182" s="74" t="s">
        <v>444</v>
      </c>
      <c r="C182" s="3" t="s">
        <v>502</v>
      </c>
      <c r="D182" s="6"/>
      <c r="E182" s="5"/>
      <c r="F182" s="165">
        <v>1</v>
      </c>
      <c r="G182" s="142">
        <f t="shared" si="28"/>
        <v>0</v>
      </c>
      <c r="H182" s="5">
        <f t="shared" si="29"/>
        <v>0</v>
      </c>
      <c r="I182" s="64">
        <v>1</v>
      </c>
      <c r="J182" s="142">
        <f t="shared" si="30"/>
        <v>0</v>
      </c>
      <c r="K182" s="5">
        <f t="shared" si="33"/>
        <v>0</v>
      </c>
      <c r="L182" s="63">
        <v>1</v>
      </c>
      <c r="M182" s="142">
        <f t="shared" si="31"/>
        <v>0</v>
      </c>
      <c r="N182" s="52"/>
    </row>
    <row r="183" spans="1:14" ht="24" customHeight="1">
      <c r="A183" s="50">
        <f t="shared" si="34"/>
        <v>34</v>
      </c>
      <c r="B183" s="74" t="s">
        <v>448</v>
      </c>
      <c r="C183" s="3" t="s">
        <v>502</v>
      </c>
      <c r="D183" s="6"/>
      <c r="E183" s="5"/>
      <c r="F183" s="165">
        <v>1</v>
      </c>
      <c r="G183" s="142">
        <f t="shared" si="28"/>
        <v>0</v>
      </c>
      <c r="H183" s="5">
        <f t="shared" si="29"/>
        <v>0</v>
      </c>
      <c r="I183" s="64">
        <v>1</v>
      </c>
      <c r="J183" s="142">
        <f t="shared" si="30"/>
        <v>0</v>
      </c>
      <c r="K183" s="5">
        <f t="shared" si="33"/>
        <v>0</v>
      </c>
      <c r="L183" s="63">
        <v>1</v>
      </c>
      <c r="M183" s="142">
        <f t="shared" si="31"/>
        <v>0</v>
      </c>
      <c r="N183" s="52"/>
    </row>
    <row r="184" spans="1:14" ht="36">
      <c r="A184" s="50">
        <f t="shared" si="34"/>
        <v>35</v>
      </c>
      <c r="B184" s="74" t="s">
        <v>107</v>
      </c>
      <c r="C184" s="3" t="s">
        <v>108</v>
      </c>
      <c r="D184" s="6"/>
      <c r="E184" s="5"/>
      <c r="F184" s="165">
        <v>1</v>
      </c>
      <c r="G184" s="142">
        <f t="shared" si="28"/>
        <v>0</v>
      </c>
      <c r="H184" s="5">
        <f t="shared" si="29"/>
        <v>0</v>
      </c>
      <c r="I184" s="64">
        <v>1</v>
      </c>
      <c r="J184" s="142">
        <f t="shared" si="30"/>
        <v>0</v>
      </c>
      <c r="K184" s="5">
        <f t="shared" si="33"/>
        <v>0</v>
      </c>
      <c r="L184" s="63">
        <v>1</v>
      </c>
      <c r="M184" s="142">
        <f t="shared" si="31"/>
        <v>0</v>
      </c>
      <c r="N184" s="52"/>
    </row>
    <row r="185" spans="1:14" ht="24">
      <c r="A185" s="50">
        <f t="shared" si="34"/>
        <v>36</v>
      </c>
      <c r="B185" s="74" t="s">
        <v>109</v>
      </c>
      <c r="C185" s="3" t="s">
        <v>108</v>
      </c>
      <c r="D185" s="6">
        <v>2000</v>
      </c>
      <c r="E185" s="5">
        <v>2000</v>
      </c>
      <c r="F185" s="165">
        <v>1</v>
      </c>
      <c r="G185" s="142">
        <f t="shared" si="28"/>
        <v>2000</v>
      </c>
      <c r="H185" s="5">
        <f t="shared" si="29"/>
        <v>2000</v>
      </c>
      <c r="I185" s="64">
        <v>1</v>
      </c>
      <c r="J185" s="142">
        <f t="shared" si="30"/>
        <v>2000</v>
      </c>
      <c r="K185" s="5">
        <f t="shared" si="33"/>
        <v>2000</v>
      </c>
      <c r="L185" s="63">
        <v>1</v>
      </c>
      <c r="M185" s="142">
        <f t="shared" si="31"/>
        <v>2000</v>
      </c>
      <c r="N185" s="52" t="s">
        <v>530</v>
      </c>
    </row>
    <row r="186" spans="1:14" ht="36">
      <c r="A186" s="50">
        <f t="shared" si="34"/>
        <v>37</v>
      </c>
      <c r="B186" s="74" t="s">
        <v>110</v>
      </c>
      <c r="C186" s="3" t="s">
        <v>502</v>
      </c>
      <c r="D186" s="6"/>
      <c r="E186" s="5"/>
      <c r="F186" s="165">
        <v>1</v>
      </c>
      <c r="G186" s="142">
        <f t="shared" si="28"/>
        <v>0</v>
      </c>
      <c r="H186" s="5">
        <f t="shared" si="29"/>
        <v>0</v>
      </c>
      <c r="I186" s="64">
        <v>1</v>
      </c>
      <c r="J186" s="142">
        <f t="shared" si="30"/>
        <v>0</v>
      </c>
      <c r="K186" s="5">
        <f t="shared" si="33"/>
        <v>0</v>
      </c>
      <c r="L186" s="63">
        <v>1</v>
      </c>
      <c r="M186" s="142">
        <f t="shared" si="31"/>
        <v>0</v>
      </c>
      <c r="N186" s="52"/>
    </row>
    <row r="187" spans="1:14" ht="12">
      <c r="A187" s="50">
        <f t="shared" si="34"/>
        <v>38</v>
      </c>
      <c r="B187" s="74" t="s">
        <v>374</v>
      </c>
      <c r="C187" s="3" t="s">
        <v>111</v>
      </c>
      <c r="D187" s="6"/>
      <c r="E187" s="5"/>
      <c r="F187" s="165">
        <v>1</v>
      </c>
      <c r="G187" s="142">
        <f t="shared" si="28"/>
        <v>0</v>
      </c>
      <c r="H187" s="5">
        <f t="shared" si="29"/>
        <v>0</v>
      </c>
      <c r="I187" s="64">
        <v>1</v>
      </c>
      <c r="J187" s="142">
        <f t="shared" si="30"/>
        <v>0</v>
      </c>
      <c r="K187" s="5">
        <f t="shared" si="33"/>
        <v>0</v>
      </c>
      <c r="L187" s="63">
        <v>1</v>
      </c>
      <c r="M187" s="142">
        <f t="shared" si="31"/>
        <v>0</v>
      </c>
      <c r="N187" s="52"/>
    </row>
    <row r="188" spans="1:14" ht="22.5">
      <c r="A188" s="50">
        <f t="shared" si="34"/>
        <v>39</v>
      </c>
      <c r="B188" s="74" t="s">
        <v>114</v>
      </c>
      <c r="C188" s="3" t="s">
        <v>112</v>
      </c>
      <c r="D188" s="6"/>
      <c r="E188" s="5">
        <v>540</v>
      </c>
      <c r="F188" s="165">
        <v>1</v>
      </c>
      <c r="G188" s="142">
        <f t="shared" si="28"/>
        <v>540</v>
      </c>
      <c r="H188" s="5">
        <f t="shared" si="29"/>
        <v>540</v>
      </c>
      <c r="I188" s="64">
        <v>1</v>
      </c>
      <c r="J188" s="142">
        <f t="shared" si="30"/>
        <v>540</v>
      </c>
      <c r="K188" s="5">
        <f t="shared" si="33"/>
        <v>540</v>
      </c>
      <c r="L188" s="63">
        <v>1</v>
      </c>
      <c r="M188" s="142">
        <f t="shared" si="31"/>
        <v>540</v>
      </c>
      <c r="N188" s="52" t="s">
        <v>899</v>
      </c>
    </row>
    <row r="189" spans="1:14" ht="22.5">
      <c r="A189" s="50">
        <f t="shared" si="34"/>
        <v>40</v>
      </c>
      <c r="B189" s="74" t="s">
        <v>121</v>
      </c>
      <c r="C189" s="3" t="s">
        <v>22</v>
      </c>
      <c r="D189" s="6"/>
      <c r="E189" s="5"/>
      <c r="F189" s="165">
        <v>1</v>
      </c>
      <c r="G189" s="142">
        <f t="shared" si="28"/>
        <v>0</v>
      </c>
      <c r="H189" s="5">
        <f t="shared" si="29"/>
        <v>0</v>
      </c>
      <c r="I189" s="64">
        <v>1</v>
      </c>
      <c r="J189" s="142">
        <f t="shared" si="30"/>
        <v>0</v>
      </c>
      <c r="K189" s="5">
        <f t="shared" si="33"/>
        <v>0</v>
      </c>
      <c r="L189" s="63">
        <v>1</v>
      </c>
      <c r="M189" s="142">
        <f t="shared" si="31"/>
        <v>0</v>
      </c>
      <c r="N189" s="52"/>
    </row>
    <row r="190" spans="1:14" ht="24">
      <c r="A190" s="50">
        <f t="shared" si="34"/>
        <v>41</v>
      </c>
      <c r="B190" s="74" t="s">
        <v>398</v>
      </c>
      <c r="C190" s="34" t="s">
        <v>91</v>
      </c>
      <c r="D190" s="6"/>
      <c r="E190" s="5"/>
      <c r="F190" s="165">
        <v>1</v>
      </c>
      <c r="G190" s="142">
        <f t="shared" si="28"/>
        <v>0</v>
      </c>
      <c r="H190" s="5">
        <f t="shared" si="29"/>
        <v>0</v>
      </c>
      <c r="I190" s="64">
        <v>1</v>
      </c>
      <c r="J190" s="142">
        <f t="shared" si="30"/>
        <v>0</v>
      </c>
      <c r="K190" s="5">
        <f t="shared" si="33"/>
        <v>0</v>
      </c>
      <c r="L190" s="63">
        <v>1</v>
      </c>
      <c r="M190" s="142">
        <f t="shared" si="31"/>
        <v>0</v>
      </c>
      <c r="N190" s="52"/>
    </row>
    <row r="191" spans="1:14" ht="22.5">
      <c r="A191" s="50">
        <f t="shared" si="34"/>
        <v>42</v>
      </c>
      <c r="B191" s="74" t="s">
        <v>113</v>
      </c>
      <c r="C191" s="3" t="s">
        <v>115</v>
      </c>
      <c r="D191" s="6"/>
      <c r="E191" s="5"/>
      <c r="F191" s="165">
        <v>1</v>
      </c>
      <c r="G191" s="142">
        <f t="shared" si="28"/>
        <v>0</v>
      </c>
      <c r="H191" s="5">
        <f t="shared" si="29"/>
        <v>0</v>
      </c>
      <c r="I191" s="64">
        <v>1</v>
      </c>
      <c r="J191" s="142">
        <f t="shared" si="30"/>
        <v>0</v>
      </c>
      <c r="K191" s="5">
        <f t="shared" si="33"/>
        <v>0</v>
      </c>
      <c r="L191" s="63">
        <v>1</v>
      </c>
      <c r="M191" s="142">
        <f t="shared" si="31"/>
        <v>0</v>
      </c>
      <c r="N191" s="52"/>
    </row>
    <row r="192" spans="1:14" ht="36">
      <c r="A192" s="50">
        <f t="shared" si="34"/>
        <v>43</v>
      </c>
      <c r="B192" s="74" t="s">
        <v>474</v>
      </c>
      <c r="C192" s="3" t="s">
        <v>91</v>
      </c>
      <c r="D192" s="6"/>
      <c r="E192" s="5"/>
      <c r="F192" s="165">
        <v>1</v>
      </c>
      <c r="G192" s="142">
        <f t="shared" si="28"/>
        <v>0</v>
      </c>
      <c r="H192" s="5">
        <f t="shared" si="29"/>
        <v>0</v>
      </c>
      <c r="I192" s="64">
        <v>1</v>
      </c>
      <c r="J192" s="142">
        <f t="shared" si="30"/>
        <v>0</v>
      </c>
      <c r="K192" s="5">
        <f t="shared" si="33"/>
        <v>0</v>
      </c>
      <c r="L192" s="63">
        <v>1</v>
      </c>
      <c r="M192" s="142">
        <f t="shared" si="31"/>
        <v>0</v>
      </c>
      <c r="N192" s="52"/>
    </row>
    <row r="193" spans="1:14" ht="22.5">
      <c r="A193" s="50">
        <f>A192+1</f>
        <v>44</v>
      </c>
      <c r="B193" s="74" t="s">
        <v>350</v>
      </c>
      <c r="C193" s="3" t="s">
        <v>156</v>
      </c>
      <c r="D193" s="6"/>
      <c r="E193" s="5"/>
      <c r="F193" s="165">
        <v>1</v>
      </c>
      <c r="G193" s="142">
        <f t="shared" si="28"/>
        <v>0</v>
      </c>
      <c r="H193" s="5">
        <f t="shared" si="29"/>
        <v>0</v>
      </c>
      <c r="I193" s="64">
        <v>1</v>
      </c>
      <c r="J193" s="142">
        <f t="shared" si="30"/>
        <v>0</v>
      </c>
      <c r="K193" s="5">
        <f t="shared" si="33"/>
        <v>0</v>
      </c>
      <c r="L193" s="63">
        <v>1</v>
      </c>
      <c r="M193" s="142">
        <f t="shared" si="31"/>
        <v>0</v>
      </c>
      <c r="N193" s="52"/>
    </row>
    <row r="194" spans="1:14" ht="36">
      <c r="A194" s="50" t="e">
        <f>#REF!+1</f>
        <v>#REF!</v>
      </c>
      <c r="B194" s="1126" t="s">
        <v>342</v>
      </c>
      <c r="C194" s="3" t="s">
        <v>502</v>
      </c>
      <c r="D194" s="6"/>
      <c r="E194" s="5"/>
      <c r="F194" s="165">
        <v>1</v>
      </c>
      <c r="G194" s="142">
        <f t="shared" si="28"/>
        <v>0</v>
      </c>
      <c r="H194" s="5">
        <f t="shared" si="29"/>
        <v>0</v>
      </c>
      <c r="I194" s="64">
        <v>1</v>
      </c>
      <c r="J194" s="142">
        <f t="shared" si="30"/>
        <v>0</v>
      </c>
      <c r="K194" s="5">
        <f t="shared" si="33"/>
        <v>0</v>
      </c>
      <c r="L194" s="63">
        <v>1</v>
      </c>
      <c r="M194" s="142">
        <f t="shared" si="31"/>
        <v>0</v>
      </c>
      <c r="N194" s="52"/>
    </row>
    <row r="195" spans="1:14" ht="24">
      <c r="A195" s="50">
        <v>50</v>
      </c>
      <c r="B195" s="74" t="s">
        <v>319</v>
      </c>
      <c r="C195" s="3" t="s">
        <v>156</v>
      </c>
      <c r="D195" s="6">
        <v>1272</v>
      </c>
      <c r="E195" s="5">
        <v>1272</v>
      </c>
      <c r="F195" s="165">
        <v>1</v>
      </c>
      <c r="G195" s="142">
        <f t="shared" si="28"/>
        <v>1272</v>
      </c>
      <c r="H195" s="5">
        <f t="shared" si="29"/>
        <v>1272</v>
      </c>
      <c r="I195" s="64">
        <v>1</v>
      </c>
      <c r="J195" s="142">
        <f t="shared" si="30"/>
        <v>1272</v>
      </c>
      <c r="K195" s="5">
        <f t="shared" si="33"/>
        <v>1272</v>
      </c>
      <c r="L195" s="63">
        <v>1</v>
      </c>
      <c r="M195" s="142">
        <f t="shared" si="31"/>
        <v>1272</v>
      </c>
      <c r="N195" s="493" t="s">
        <v>518</v>
      </c>
    </row>
    <row r="196" spans="1:14" ht="33.75">
      <c r="A196" s="50">
        <f t="shared" si="34"/>
        <v>51</v>
      </c>
      <c r="B196" s="74" t="s">
        <v>117</v>
      </c>
      <c r="C196" s="3" t="s">
        <v>502</v>
      </c>
      <c r="D196" s="6"/>
      <c r="E196" s="5"/>
      <c r="F196" s="165">
        <v>1</v>
      </c>
      <c r="G196" s="142">
        <f t="shared" si="28"/>
        <v>0</v>
      </c>
      <c r="H196" s="5">
        <f t="shared" si="29"/>
        <v>0</v>
      </c>
      <c r="I196" s="64">
        <v>1</v>
      </c>
      <c r="J196" s="142">
        <f t="shared" si="30"/>
        <v>0</v>
      </c>
      <c r="K196" s="5">
        <f t="shared" si="33"/>
        <v>0</v>
      </c>
      <c r="L196" s="63">
        <v>1</v>
      </c>
      <c r="M196" s="142">
        <f t="shared" si="31"/>
        <v>0</v>
      </c>
      <c r="N196" s="52"/>
    </row>
    <row r="197" spans="1:14" ht="33.75">
      <c r="A197" s="50">
        <f t="shared" si="34"/>
        <v>52</v>
      </c>
      <c r="B197" s="74" t="s">
        <v>120</v>
      </c>
      <c r="C197" s="3" t="s">
        <v>502</v>
      </c>
      <c r="D197" s="6"/>
      <c r="E197" s="5"/>
      <c r="F197" s="165">
        <v>1</v>
      </c>
      <c r="G197" s="142">
        <f t="shared" si="28"/>
        <v>0</v>
      </c>
      <c r="H197" s="5">
        <f t="shared" si="29"/>
        <v>0</v>
      </c>
      <c r="I197" s="64">
        <v>1</v>
      </c>
      <c r="J197" s="142">
        <f t="shared" si="30"/>
        <v>0</v>
      </c>
      <c r="K197" s="5">
        <f t="shared" si="33"/>
        <v>0</v>
      </c>
      <c r="L197" s="63">
        <v>1</v>
      </c>
      <c r="M197" s="142">
        <f t="shared" si="31"/>
        <v>0</v>
      </c>
      <c r="N197" s="52"/>
    </row>
    <row r="198" spans="1:14" ht="22.5">
      <c r="A198" s="50">
        <f t="shared" si="34"/>
        <v>53</v>
      </c>
      <c r="B198" s="74" t="s">
        <v>26</v>
      </c>
      <c r="C198" s="3" t="s">
        <v>27</v>
      </c>
      <c r="D198" s="6"/>
      <c r="E198" s="5"/>
      <c r="F198" s="165">
        <v>1</v>
      </c>
      <c r="G198" s="142">
        <f t="shared" si="28"/>
        <v>0</v>
      </c>
      <c r="H198" s="5">
        <f t="shared" si="29"/>
        <v>0</v>
      </c>
      <c r="I198" s="64">
        <v>1</v>
      </c>
      <c r="J198" s="142">
        <f t="shared" si="30"/>
        <v>0</v>
      </c>
      <c r="K198" s="5">
        <f t="shared" si="33"/>
        <v>0</v>
      </c>
      <c r="L198" s="63">
        <v>1</v>
      </c>
      <c r="M198" s="142">
        <f t="shared" si="31"/>
        <v>0</v>
      </c>
      <c r="N198" s="52"/>
    </row>
    <row r="199" spans="1:14" ht="33.75">
      <c r="A199" s="50">
        <f t="shared" si="34"/>
        <v>54</v>
      </c>
      <c r="B199" s="74" t="s">
        <v>1</v>
      </c>
      <c r="C199" s="3" t="s">
        <v>502</v>
      </c>
      <c r="D199" s="6"/>
      <c r="E199" s="5"/>
      <c r="F199" s="165">
        <v>1</v>
      </c>
      <c r="G199" s="142">
        <f t="shared" si="28"/>
        <v>0</v>
      </c>
      <c r="H199" s="5">
        <f t="shared" si="29"/>
        <v>0</v>
      </c>
      <c r="I199" s="64">
        <v>1</v>
      </c>
      <c r="J199" s="142">
        <f t="shared" si="30"/>
        <v>0</v>
      </c>
      <c r="K199" s="5">
        <f aca="true" t="shared" si="35" ref="K199:K219">J199</f>
        <v>0</v>
      </c>
      <c r="L199" s="63">
        <v>1</v>
      </c>
      <c r="M199" s="142">
        <f t="shared" si="31"/>
        <v>0</v>
      </c>
      <c r="N199" s="52"/>
    </row>
    <row r="200" spans="1:14" ht="33.75">
      <c r="A200" s="50">
        <f t="shared" si="34"/>
        <v>55</v>
      </c>
      <c r="B200" s="74" t="s">
        <v>372</v>
      </c>
      <c r="C200" s="34" t="s">
        <v>502</v>
      </c>
      <c r="D200" s="6"/>
      <c r="E200" s="5"/>
      <c r="F200" s="165">
        <v>1</v>
      </c>
      <c r="G200" s="142">
        <f t="shared" si="28"/>
        <v>0</v>
      </c>
      <c r="H200" s="5">
        <f t="shared" si="29"/>
        <v>0</v>
      </c>
      <c r="I200" s="64">
        <v>1</v>
      </c>
      <c r="J200" s="142">
        <f t="shared" si="30"/>
        <v>0</v>
      </c>
      <c r="K200" s="5">
        <f t="shared" si="35"/>
        <v>0</v>
      </c>
      <c r="L200" s="63">
        <v>1</v>
      </c>
      <c r="M200" s="142">
        <f t="shared" si="31"/>
        <v>0</v>
      </c>
      <c r="N200" s="52"/>
    </row>
    <row r="201" spans="1:14" ht="24">
      <c r="A201" s="50">
        <f>A200+1</f>
        <v>56</v>
      </c>
      <c r="B201" s="74" t="s">
        <v>315</v>
      </c>
      <c r="C201" s="34" t="s">
        <v>325</v>
      </c>
      <c r="D201" s="6"/>
      <c r="E201" s="5"/>
      <c r="F201" s="165">
        <v>1</v>
      </c>
      <c r="G201" s="142">
        <f aca="true" t="shared" si="36" ref="G201:G219">ROUND(E201*F201,0)</f>
        <v>0</v>
      </c>
      <c r="H201" s="5">
        <f t="shared" si="29"/>
        <v>0</v>
      </c>
      <c r="I201" s="64">
        <v>1</v>
      </c>
      <c r="J201" s="142">
        <f aca="true" t="shared" si="37" ref="J201:J219">ROUND(H201*I201,0)</f>
        <v>0</v>
      </c>
      <c r="K201" s="5">
        <f t="shared" si="35"/>
        <v>0</v>
      </c>
      <c r="L201" s="63">
        <v>1</v>
      </c>
      <c r="M201" s="142">
        <f aca="true" t="shared" si="38" ref="M201:M219">ROUND(K201*L201,0)</f>
        <v>0</v>
      </c>
      <c r="N201" s="52"/>
    </row>
    <row r="202" spans="1:14" ht="24">
      <c r="A202" s="50">
        <f aca="true" t="shared" si="39" ref="A202:A207">A201+1</f>
        <v>57</v>
      </c>
      <c r="B202" s="74" t="s">
        <v>437</v>
      </c>
      <c r="C202" s="34" t="s">
        <v>325</v>
      </c>
      <c r="D202" s="6"/>
      <c r="E202" s="5"/>
      <c r="F202" s="165">
        <v>1</v>
      </c>
      <c r="G202" s="142">
        <f t="shared" si="36"/>
        <v>0</v>
      </c>
      <c r="H202" s="5">
        <f t="shared" si="29"/>
        <v>0</v>
      </c>
      <c r="I202" s="64">
        <v>1</v>
      </c>
      <c r="J202" s="142">
        <f t="shared" si="37"/>
        <v>0</v>
      </c>
      <c r="K202" s="5">
        <f t="shared" si="35"/>
        <v>0</v>
      </c>
      <c r="L202" s="63">
        <v>1</v>
      </c>
      <c r="M202" s="142">
        <f t="shared" si="38"/>
        <v>0</v>
      </c>
      <c r="N202" s="52"/>
    </row>
    <row r="203" spans="1:14" ht="22.5">
      <c r="A203" s="50">
        <f t="shared" si="39"/>
        <v>58</v>
      </c>
      <c r="B203" s="74" t="s">
        <v>312</v>
      </c>
      <c r="C203" s="34" t="s">
        <v>326</v>
      </c>
      <c r="D203" s="6">
        <v>32400</v>
      </c>
      <c r="E203" s="5">
        <v>32400</v>
      </c>
      <c r="F203" s="165">
        <v>1</v>
      </c>
      <c r="G203" s="142">
        <f t="shared" si="36"/>
        <v>32400</v>
      </c>
      <c r="H203" s="5">
        <f t="shared" si="29"/>
        <v>32400</v>
      </c>
      <c r="I203" s="64">
        <v>1</v>
      </c>
      <c r="J203" s="142">
        <f t="shared" si="37"/>
        <v>32400</v>
      </c>
      <c r="K203" s="5">
        <f t="shared" si="35"/>
        <v>32400</v>
      </c>
      <c r="L203" s="63">
        <v>1</v>
      </c>
      <c r="M203" s="142">
        <f t="shared" si="38"/>
        <v>32400</v>
      </c>
      <c r="N203" s="493" t="s">
        <v>885</v>
      </c>
    </row>
    <row r="204" spans="1:14" ht="22.5">
      <c r="A204" s="50">
        <f t="shared" si="39"/>
        <v>59</v>
      </c>
      <c r="B204" s="74" t="s">
        <v>313</v>
      </c>
      <c r="C204" s="34" t="s">
        <v>156</v>
      </c>
      <c r="D204" s="6"/>
      <c r="E204" s="5"/>
      <c r="F204" s="165">
        <v>1</v>
      </c>
      <c r="G204" s="142">
        <f t="shared" si="36"/>
        <v>0</v>
      </c>
      <c r="H204" s="5">
        <f t="shared" si="29"/>
        <v>0</v>
      </c>
      <c r="I204" s="64">
        <v>1</v>
      </c>
      <c r="J204" s="142">
        <f t="shared" si="37"/>
        <v>0</v>
      </c>
      <c r="K204" s="5">
        <f t="shared" si="35"/>
        <v>0</v>
      </c>
      <c r="L204" s="63">
        <v>1</v>
      </c>
      <c r="M204" s="142">
        <f t="shared" si="38"/>
        <v>0</v>
      </c>
      <c r="N204" s="52"/>
    </row>
    <row r="205" spans="1:14" ht="22.5">
      <c r="A205" s="50">
        <f t="shared" si="39"/>
        <v>60</v>
      </c>
      <c r="B205" s="74" t="s">
        <v>375</v>
      </c>
      <c r="C205" s="34" t="s">
        <v>156</v>
      </c>
      <c r="D205" s="6"/>
      <c r="E205" s="5"/>
      <c r="F205" s="165">
        <v>1</v>
      </c>
      <c r="G205" s="142">
        <f t="shared" si="36"/>
        <v>0</v>
      </c>
      <c r="H205" s="5">
        <f t="shared" si="29"/>
        <v>0</v>
      </c>
      <c r="I205" s="64">
        <v>1</v>
      </c>
      <c r="J205" s="142">
        <f t="shared" si="37"/>
        <v>0</v>
      </c>
      <c r="K205" s="5">
        <f t="shared" si="35"/>
        <v>0</v>
      </c>
      <c r="L205" s="63">
        <v>1</v>
      </c>
      <c r="M205" s="142">
        <f t="shared" si="38"/>
        <v>0</v>
      </c>
      <c r="N205" s="52"/>
    </row>
    <row r="206" spans="1:14" ht="22.5">
      <c r="A206" s="50">
        <f t="shared" si="39"/>
        <v>61</v>
      </c>
      <c r="B206" s="74" t="s">
        <v>445</v>
      </c>
      <c r="C206" s="34" t="s">
        <v>325</v>
      </c>
      <c r="D206" s="6"/>
      <c r="E206" s="5"/>
      <c r="F206" s="165">
        <v>1</v>
      </c>
      <c r="G206" s="142">
        <f t="shared" si="36"/>
        <v>0</v>
      </c>
      <c r="H206" s="5">
        <f t="shared" si="29"/>
        <v>0</v>
      </c>
      <c r="I206" s="64">
        <v>1</v>
      </c>
      <c r="J206" s="142">
        <f t="shared" si="37"/>
        <v>0</v>
      </c>
      <c r="K206" s="5">
        <f t="shared" si="35"/>
        <v>0</v>
      </c>
      <c r="L206" s="63">
        <v>1</v>
      </c>
      <c r="M206" s="142">
        <f t="shared" si="38"/>
        <v>0</v>
      </c>
      <c r="N206" s="52"/>
    </row>
    <row r="207" spans="1:14" ht="24">
      <c r="A207" s="50">
        <f t="shared" si="39"/>
        <v>62</v>
      </c>
      <c r="B207" s="95" t="s">
        <v>66</v>
      </c>
      <c r="C207" s="34"/>
      <c r="D207" s="96"/>
      <c r="E207" s="5"/>
      <c r="F207" s="165">
        <v>1</v>
      </c>
      <c r="G207" s="142">
        <f t="shared" si="36"/>
        <v>0</v>
      </c>
      <c r="H207" s="5">
        <f aca="true" t="shared" si="40" ref="H207:H219">G207</f>
        <v>0</v>
      </c>
      <c r="I207" s="64">
        <v>1</v>
      </c>
      <c r="J207" s="142">
        <f t="shared" si="37"/>
        <v>0</v>
      </c>
      <c r="K207" s="5">
        <f t="shared" si="35"/>
        <v>0</v>
      </c>
      <c r="L207" s="63">
        <v>1</v>
      </c>
      <c r="M207" s="142">
        <f t="shared" si="38"/>
        <v>0</v>
      </c>
      <c r="N207" s="55"/>
    </row>
    <row r="208" spans="1:14" ht="22.5">
      <c r="A208" s="72"/>
      <c r="B208" s="74" t="s">
        <v>123</v>
      </c>
      <c r="C208" s="34" t="s">
        <v>401</v>
      </c>
      <c r="D208" s="6"/>
      <c r="E208" s="5"/>
      <c r="F208" s="165">
        <v>1</v>
      </c>
      <c r="G208" s="142">
        <f t="shared" si="36"/>
        <v>0</v>
      </c>
      <c r="H208" s="5">
        <f t="shared" si="40"/>
        <v>0</v>
      </c>
      <c r="I208" s="64">
        <v>1</v>
      </c>
      <c r="J208" s="142">
        <f t="shared" si="37"/>
        <v>0</v>
      </c>
      <c r="K208" s="5">
        <f t="shared" si="35"/>
        <v>0</v>
      </c>
      <c r="L208" s="63">
        <v>1</v>
      </c>
      <c r="M208" s="142">
        <f t="shared" si="38"/>
        <v>0</v>
      </c>
      <c r="N208" s="52"/>
    </row>
    <row r="209" spans="1:14" ht="24">
      <c r="A209" s="72"/>
      <c r="B209" s="74" t="s">
        <v>122</v>
      </c>
      <c r="C209" s="34" t="s">
        <v>401</v>
      </c>
      <c r="D209" s="6"/>
      <c r="E209" s="5"/>
      <c r="F209" s="165">
        <v>1</v>
      </c>
      <c r="G209" s="142">
        <f t="shared" si="36"/>
        <v>0</v>
      </c>
      <c r="H209" s="5">
        <f t="shared" si="40"/>
        <v>0</v>
      </c>
      <c r="I209" s="64">
        <v>1</v>
      </c>
      <c r="J209" s="142">
        <f t="shared" si="37"/>
        <v>0</v>
      </c>
      <c r="K209" s="5">
        <f t="shared" si="35"/>
        <v>0</v>
      </c>
      <c r="L209" s="63">
        <v>1</v>
      </c>
      <c r="M209" s="142">
        <f t="shared" si="38"/>
        <v>0</v>
      </c>
      <c r="N209" s="52"/>
    </row>
    <row r="210" spans="1:14" ht="22.5">
      <c r="A210" s="72"/>
      <c r="B210" s="74" t="s">
        <v>124</v>
      </c>
      <c r="C210" s="34" t="s">
        <v>401</v>
      </c>
      <c r="D210" s="6"/>
      <c r="E210" s="5"/>
      <c r="F210" s="165">
        <v>1</v>
      </c>
      <c r="G210" s="142">
        <f t="shared" si="36"/>
        <v>0</v>
      </c>
      <c r="H210" s="5">
        <f t="shared" si="40"/>
        <v>0</v>
      </c>
      <c r="I210" s="64">
        <v>1</v>
      </c>
      <c r="J210" s="142">
        <f t="shared" si="37"/>
        <v>0</v>
      </c>
      <c r="K210" s="5">
        <f t="shared" si="35"/>
        <v>0</v>
      </c>
      <c r="L210" s="63">
        <v>1</v>
      </c>
      <c r="M210" s="142">
        <f t="shared" si="38"/>
        <v>0</v>
      </c>
      <c r="N210" s="52"/>
    </row>
    <row r="211" spans="1:14" ht="22.5">
      <c r="A211" s="72"/>
      <c r="B211" s="74" t="s">
        <v>125</v>
      </c>
      <c r="C211" s="34" t="s">
        <v>401</v>
      </c>
      <c r="D211" s="6"/>
      <c r="E211" s="5"/>
      <c r="F211" s="165">
        <v>1</v>
      </c>
      <c r="G211" s="142">
        <f t="shared" si="36"/>
        <v>0</v>
      </c>
      <c r="H211" s="5">
        <f t="shared" si="40"/>
        <v>0</v>
      </c>
      <c r="I211" s="64">
        <v>1</v>
      </c>
      <c r="J211" s="142">
        <f t="shared" si="37"/>
        <v>0</v>
      </c>
      <c r="K211" s="5">
        <f t="shared" si="35"/>
        <v>0</v>
      </c>
      <c r="L211" s="63">
        <v>1</v>
      </c>
      <c r="M211" s="142">
        <f t="shared" si="38"/>
        <v>0</v>
      </c>
      <c r="N211" s="52"/>
    </row>
    <row r="212" spans="1:14" ht="24">
      <c r="A212" s="72"/>
      <c r="B212" s="74" t="s">
        <v>126</v>
      </c>
      <c r="C212" s="3" t="s">
        <v>401</v>
      </c>
      <c r="D212" s="6"/>
      <c r="E212" s="5"/>
      <c r="F212" s="165">
        <v>1</v>
      </c>
      <c r="G212" s="142">
        <f t="shared" si="36"/>
        <v>0</v>
      </c>
      <c r="H212" s="5">
        <f t="shared" si="40"/>
        <v>0</v>
      </c>
      <c r="I212" s="64">
        <v>1</v>
      </c>
      <c r="J212" s="142">
        <f t="shared" si="37"/>
        <v>0</v>
      </c>
      <c r="K212" s="5">
        <f t="shared" si="35"/>
        <v>0</v>
      </c>
      <c r="L212" s="63">
        <v>1</v>
      </c>
      <c r="M212" s="142">
        <f t="shared" si="38"/>
        <v>0</v>
      </c>
      <c r="N212" s="52"/>
    </row>
    <row r="213" spans="1:14" ht="24">
      <c r="A213" s="72"/>
      <c r="B213" s="74" t="s">
        <v>128</v>
      </c>
      <c r="C213" s="3" t="s">
        <v>401</v>
      </c>
      <c r="D213" s="6"/>
      <c r="E213" s="5"/>
      <c r="F213" s="165">
        <v>1</v>
      </c>
      <c r="G213" s="142">
        <f t="shared" si="36"/>
        <v>0</v>
      </c>
      <c r="H213" s="5">
        <f t="shared" si="40"/>
        <v>0</v>
      </c>
      <c r="I213" s="64">
        <v>1</v>
      </c>
      <c r="J213" s="142">
        <f t="shared" si="37"/>
        <v>0</v>
      </c>
      <c r="K213" s="5">
        <f t="shared" si="35"/>
        <v>0</v>
      </c>
      <c r="L213" s="63">
        <v>1</v>
      </c>
      <c r="M213" s="142">
        <f t="shared" si="38"/>
        <v>0</v>
      </c>
      <c r="N213" s="52"/>
    </row>
    <row r="214" spans="1:14" ht="22.5">
      <c r="A214" s="72"/>
      <c r="B214" s="74" t="s">
        <v>132</v>
      </c>
      <c r="C214" s="3" t="s">
        <v>404</v>
      </c>
      <c r="D214" s="6"/>
      <c r="E214" s="5"/>
      <c r="F214" s="165">
        <v>1</v>
      </c>
      <c r="G214" s="142">
        <f t="shared" si="36"/>
        <v>0</v>
      </c>
      <c r="H214" s="5">
        <f t="shared" si="40"/>
        <v>0</v>
      </c>
      <c r="I214" s="64">
        <v>1</v>
      </c>
      <c r="J214" s="142">
        <f t="shared" si="37"/>
        <v>0</v>
      </c>
      <c r="K214" s="5">
        <f t="shared" si="35"/>
        <v>0</v>
      </c>
      <c r="L214" s="63">
        <v>1</v>
      </c>
      <c r="M214" s="142">
        <f t="shared" si="38"/>
        <v>0</v>
      </c>
      <c r="N214" s="52"/>
    </row>
    <row r="215" spans="1:14" ht="24">
      <c r="A215" s="72"/>
      <c r="B215" s="74" t="s">
        <v>259</v>
      </c>
      <c r="C215" s="3" t="s">
        <v>419</v>
      </c>
      <c r="D215" s="6"/>
      <c r="E215" s="5"/>
      <c r="F215" s="165">
        <v>1</v>
      </c>
      <c r="G215" s="142">
        <f t="shared" si="36"/>
        <v>0</v>
      </c>
      <c r="H215" s="5">
        <f t="shared" si="40"/>
        <v>0</v>
      </c>
      <c r="I215" s="64">
        <v>1</v>
      </c>
      <c r="J215" s="142">
        <f t="shared" si="37"/>
        <v>0</v>
      </c>
      <c r="K215" s="5">
        <f t="shared" si="35"/>
        <v>0</v>
      </c>
      <c r="L215" s="63">
        <v>1</v>
      </c>
      <c r="M215" s="142">
        <f t="shared" si="38"/>
        <v>0</v>
      </c>
      <c r="N215" s="52"/>
    </row>
    <row r="216" spans="1:14" ht="22.5">
      <c r="A216" s="72"/>
      <c r="B216" s="74" t="s">
        <v>323</v>
      </c>
      <c r="C216" s="3" t="s">
        <v>419</v>
      </c>
      <c r="D216" s="6"/>
      <c r="E216" s="5"/>
      <c r="F216" s="165">
        <v>1</v>
      </c>
      <c r="G216" s="142">
        <f t="shared" si="36"/>
        <v>0</v>
      </c>
      <c r="H216" s="5">
        <f t="shared" si="40"/>
        <v>0</v>
      </c>
      <c r="I216" s="64">
        <v>1</v>
      </c>
      <c r="J216" s="142">
        <f t="shared" si="37"/>
        <v>0</v>
      </c>
      <c r="K216" s="5">
        <f t="shared" si="35"/>
        <v>0</v>
      </c>
      <c r="L216" s="63">
        <v>1</v>
      </c>
      <c r="M216" s="142">
        <f t="shared" si="38"/>
        <v>0</v>
      </c>
      <c r="N216" s="52"/>
    </row>
    <row r="217" spans="1:14" ht="24">
      <c r="A217" s="72"/>
      <c r="B217" s="74" t="s">
        <v>316</v>
      </c>
      <c r="C217" s="3" t="s">
        <v>420</v>
      </c>
      <c r="D217" s="6"/>
      <c r="E217" s="5"/>
      <c r="F217" s="165">
        <v>1</v>
      </c>
      <c r="G217" s="142">
        <f t="shared" si="36"/>
        <v>0</v>
      </c>
      <c r="H217" s="5">
        <f t="shared" si="40"/>
        <v>0</v>
      </c>
      <c r="I217" s="64">
        <v>1</v>
      </c>
      <c r="J217" s="142">
        <f t="shared" si="37"/>
        <v>0</v>
      </c>
      <c r="K217" s="5">
        <f t="shared" si="35"/>
        <v>0</v>
      </c>
      <c r="L217" s="63">
        <v>1</v>
      </c>
      <c r="M217" s="142">
        <f t="shared" si="38"/>
        <v>0</v>
      </c>
      <c r="N217" s="52"/>
    </row>
    <row r="218" spans="1:14" ht="22.5">
      <c r="A218" s="73"/>
      <c r="B218" s="74" t="s">
        <v>133</v>
      </c>
      <c r="C218" s="3" t="s">
        <v>258</v>
      </c>
      <c r="D218" s="6"/>
      <c r="E218" s="5"/>
      <c r="F218" s="165">
        <v>1</v>
      </c>
      <c r="G218" s="142">
        <f t="shared" si="36"/>
        <v>0</v>
      </c>
      <c r="H218" s="5">
        <f t="shared" si="40"/>
        <v>0</v>
      </c>
      <c r="I218" s="64">
        <v>1</v>
      </c>
      <c r="J218" s="142">
        <f t="shared" si="37"/>
        <v>0</v>
      </c>
      <c r="K218" s="5">
        <f t="shared" si="35"/>
        <v>0</v>
      </c>
      <c r="L218" s="63">
        <v>1</v>
      </c>
      <c r="M218" s="142">
        <f t="shared" si="38"/>
        <v>0</v>
      </c>
      <c r="N218" s="52"/>
    </row>
    <row r="219" spans="1:14" ht="78.75">
      <c r="A219" s="50">
        <f>1+A207</f>
        <v>63</v>
      </c>
      <c r="B219" s="74" t="s">
        <v>248</v>
      </c>
      <c r="C219" s="3" t="s">
        <v>335</v>
      </c>
      <c r="D219" s="27">
        <v>58400</v>
      </c>
      <c r="E219" s="5">
        <v>108400</v>
      </c>
      <c r="F219" s="165">
        <v>1</v>
      </c>
      <c r="G219" s="142">
        <f t="shared" si="36"/>
        <v>108400</v>
      </c>
      <c r="H219" s="5">
        <f t="shared" si="40"/>
        <v>108400</v>
      </c>
      <c r="I219" s="64">
        <v>1</v>
      </c>
      <c r="J219" s="142">
        <f t="shared" si="37"/>
        <v>108400</v>
      </c>
      <c r="K219" s="5">
        <f t="shared" si="35"/>
        <v>108400</v>
      </c>
      <c r="L219" s="63">
        <v>1</v>
      </c>
      <c r="M219" s="142">
        <f t="shared" si="38"/>
        <v>108400</v>
      </c>
      <c r="N219" s="54" t="s">
        <v>890</v>
      </c>
    </row>
    <row r="220" spans="1:36" s="10" customFormat="1" ht="12">
      <c r="A220" s="33"/>
      <c r="B220" s="79" t="s">
        <v>150</v>
      </c>
      <c r="C220" s="70"/>
      <c r="D220" s="15">
        <f>ROUND(SUM(D144:D219),2)</f>
        <v>1117796</v>
      </c>
      <c r="E220" s="15">
        <f aca="true" t="shared" si="41" ref="E220:K220">ROUND(SUM(E144:E219),2)</f>
        <v>1122796</v>
      </c>
      <c r="F220" s="15"/>
      <c r="G220" s="15">
        <f>ROUND(SUM(G144:G219),0)</f>
        <v>1122796</v>
      </c>
      <c r="H220" s="15">
        <f t="shared" si="41"/>
        <v>1122796</v>
      </c>
      <c r="I220" s="15"/>
      <c r="J220" s="15">
        <f>ROUND(SUM(J144:J219),0)</f>
        <v>1122796</v>
      </c>
      <c r="K220" s="15">
        <f t="shared" si="41"/>
        <v>1122796</v>
      </c>
      <c r="L220" s="15"/>
      <c r="M220" s="15">
        <f>ROUND(SUM(M144:M219),0)</f>
        <v>1122796</v>
      </c>
      <c r="N220" s="56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27"/>
    </row>
    <row r="221" spans="1:14" ht="12">
      <c r="A221" s="84" t="s">
        <v>139</v>
      </c>
      <c r="B221" s="85"/>
      <c r="C221" s="99"/>
      <c r="D221" s="87"/>
      <c r="E221" s="88"/>
      <c r="F221" s="89"/>
      <c r="G221" s="90"/>
      <c r="H221" s="88"/>
      <c r="I221" s="89"/>
      <c r="J221" s="90"/>
      <c r="K221" s="88"/>
      <c r="L221" s="89"/>
      <c r="M221" s="90"/>
      <c r="N221" s="91"/>
    </row>
    <row r="222" spans="1:36" s="97" customFormat="1" ht="24">
      <c r="A222" s="50">
        <v>1</v>
      </c>
      <c r="B222" s="74" t="s">
        <v>476</v>
      </c>
      <c r="C222" s="3" t="s">
        <v>91</v>
      </c>
      <c r="D222" s="6"/>
      <c r="E222" s="5"/>
      <c r="F222" s="63">
        <v>1</v>
      </c>
      <c r="G222" s="1">
        <f>ROUND(E222*F222,0)</f>
        <v>0</v>
      </c>
      <c r="H222" s="5">
        <f>G222</f>
        <v>0</v>
      </c>
      <c r="I222" s="64">
        <v>1</v>
      </c>
      <c r="J222" s="1">
        <f>ROUND(H222*I222,0)</f>
        <v>0</v>
      </c>
      <c r="K222" s="5">
        <f>J222</f>
        <v>0</v>
      </c>
      <c r="L222" s="63">
        <v>1</v>
      </c>
      <c r="M222" s="1">
        <f>ROUND(K222*L222,0)</f>
        <v>0</v>
      </c>
      <c r="N222" s="52"/>
      <c r="O222" s="12"/>
      <c r="P222" s="12"/>
      <c r="Q222" s="12"/>
      <c r="R222" s="1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128"/>
      <c r="AE222" s="128"/>
      <c r="AF222" s="128"/>
      <c r="AG222" s="128"/>
      <c r="AH222" s="128"/>
      <c r="AI222" s="128"/>
      <c r="AJ222" s="128"/>
    </row>
    <row r="223" spans="1:14" ht="60">
      <c r="A223" s="50">
        <f>1+A222</f>
        <v>2</v>
      </c>
      <c r="B223" s="75" t="s">
        <v>376</v>
      </c>
      <c r="C223" s="4" t="s">
        <v>156</v>
      </c>
      <c r="D223" s="36"/>
      <c r="E223" s="5"/>
      <c r="F223" s="63">
        <v>1</v>
      </c>
      <c r="G223" s="1">
        <f>ROUND(E223*F223,0)</f>
        <v>0</v>
      </c>
      <c r="H223" s="5">
        <f>G223</f>
        <v>0</v>
      </c>
      <c r="I223" s="64">
        <v>1</v>
      </c>
      <c r="J223" s="1">
        <f>ROUND(H223*I223,0)</f>
        <v>0</v>
      </c>
      <c r="K223" s="5">
        <f>J223</f>
        <v>0</v>
      </c>
      <c r="L223" s="63">
        <v>1</v>
      </c>
      <c r="M223" s="1">
        <f>ROUND(K223*L223,0)</f>
        <v>0</v>
      </c>
      <c r="N223" s="57"/>
    </row>
    <row r="224" spans="1:14" ht="72">
      <c r="A224" s="50">
        <f>1+A223</f>
        <v>3</v>
      </c>
      <c r="B224" s="75" t="s">
        <v>399</v>
      </c>
      <c r="C224" s="4" t="s">
        <v>325</v>
      </c>
      <c r="D224" s="36"/>
      <c r="E224" s="5"/>
      <c r="F224" s="63">
        <v>1</v>
      </c>
      <c r="G224" s="1">
        <f>ROUND(E224*F224,0)</f>
        <v>0</v>
      </c>
      <c r="H224" s="5">
        <f>G224</f>
        <v>0</v>
      </c>
      <c r="I224" s="64">
        <v>1</v>
      </c>
      <c r="J224" s="1">
        <f>ROUND(H224*I224,0)</f>
        <v>0</v>
      </c>
      <c r="K224" s="5">
        <f>J224</f>
        <v>0</v>
      </c>
      <c r="L224" s="63">
        <v>1</v>
      </c>
      <c r="M224" s="1">
        <f>ROUND(K224*L224,0)</f>
        <v>0</v>
      </c>
      <c r="N224" s="57"/>
    </row>
    <row r="225" spans="1:36" s="10" customFormat="1" ht="36.75" customHeight="1">
      <c r="A225" s="50">
        <f>A224+1</f>
        <v>4</v>
      </c>
      <c r="B225" s="75" t="s">
        <v>248</v>
      </c>
      <c r="C225" s="4" t="s">
        <v>335</v>
      </c>
      <c r="D225" s="37"/>
      <c r="E225" s="5"/>
      <c r="F225" s="63">
        <v>1</v>
      </c>
      <c r="G225" s="1">
        <f>ROUND(E225*F225,0)</f>
        <v>0</v>
      </c>
      <c r="H225" s="5">
        <f>G225</f>
        <v>0</v>
      </c>
      <c r="I225" s="64">
        <v>1</v>
      </c>
      <c r="J225" s="1">
        <f>ROUND(H225*I225,0)</f>
        <v>0</v>
      </c>
      <c r="K225" s="5">
        <f>J225</f>
        <v>0</v>
      </c>
      <c r="L225" s="63">
        <v>1</v>
      </c>
      <c r="M225" s="1">
        <f>ROUND(K225*L225,0)</f>
        <v>0</v>
      </c>
      <c r="N225" s="58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</row>
    <row r="226" spans="1:14" ht="12">
      <c r="A226" s="33"/>
      <c r="B226" s="79" t="s">
        <v>152</v>
      </c>
      <c r="C226" s="153"/>
      <c r="D226" s="154">
        <f>ROUNDDOWN(SUM(D222:D225),2)</f>
        <v>0</v>
      </c>
      <c r="E226" s="154">
        <f aca="true" t="shared" si="42" ref="E226:K226">ROUNDDOWN(SUM(E222:E225),2)</f>
        <v>0</v>
      </c>
      <c r="F226" s="154"/>
      <c r="G226" s="154">
        <f>ROUNDDOWN(SUM(G222:G225),0)</f>
        <v>0</v>
      </c>
      <c r="H226" s="154">
        <f t="shared" si="42"/>
        <v>0</v>
      </c>
      <c r="I226" s="154"/>
      <c r="J226" s="154">
        <f>ROUNDDOWN(SUM(J222:J225),0)</f>
        <v>0</v>
      </c>
      <c r="K226" s="154">
        <f t="shared" si="42"/>
        <v>0</v>
      </c>
      <c r="L226" s="154"/>
      <c r="M226" s="154">
        <f>ROUNDDOWN(SUM(M222:M225),0)</f>
        <v>0</v>
      </c>
      <c r="N226" s="60"/>
    </row>
    <row r="227" spans="1:14" ht="12">
      <c r="A227" s="84" t="s">
        <v>159</v>
      </c>
      <c r="B227" s="85"/>
      <c r="C227" s="99"/>
      <c r="D227" s="87"/>
      <c r="E227" s="88"/>
      <c r="F227" s="89"/>
      <c r="G227" s="243"/>
      <c r="H227" s="88"/>
      <c r="I227" s="89"/>
      <c r="J227" s="243"/>
      <c r="K227" s="88"/>
      <c r="L227" s="89"/>
      <c r="M227" s="243"/>
      <c r="N227" s="91"/>
    </row>
    <row r="228" spans="1:14" ht="24">
      <c r="A228" s="72">
        <v>1</v>
      </c>
      <c r="B228" s="234" t="s">
        <v>296</v>
      </c>
      <c r="C228" s="235"/>
      <c r="D228" s="218"/>
      <c r="E228" s="219"/>
      <c r="F228" s="220"/>
      <c r="G228" s="221"/>
      <c r="H228" s="219"/>
      <c r="I228" s="220"/>
      <c r="J228" s="221"/>
      <c r="K228" s="219"/>
      <c r="L228" s="220"/>
      <c r="M228" s="221"/>
      <c r="N228" s="222"/>
    </row>
    <row r="229" spans="1:14" ht="36">
      <c r="A229" s="72"/>
      <c r="B229" s="74" t="s">
        <v>140</v>
      </c>
      <c r="C229" s="3" t="s">
        <v>269</v>
      </c>
      <c r="D229" s="6">
        <v>303850</v>
      </c>
      <c r="E229" s="708">
        <v>488904.74</v>
      </c>
      <c r="F229" s="709">
        <v>1</v>
      </c>
      <c r="G229" s="710">
        <f>ROUND(E229*F229,0)</f>
        <v>488905</v>
      </c>
      <c r="H229" s="708">
        <f>G229</f>
        <v>488905</v>
      </c>
      <c r="I229" s="711">
        <v>1</v>
      </c>
      <c r="J229" s="710">
        <f>ROUND(H229*I229,0)</f>
        <v>488905</v>
      </c>
      <c r="K229" s="708">
        <f aca="true" t="shared" si="43" ref="K229:K268">J229</f>
        <v>488905</v>
      </c>
      <c r="L229" s="709">
        <v>1</v>
      </c>
      <c r="M229" s="710">
        <f>ROUND(K229*L229,0)</f>
        <v>488905</v>
      </c>
      <c r="N229" s="52" t="s">
        <v>896</v>
      </c>
    </row>
    <row r="230" spans="1:14" ht="24">
      <c r="A230" s="72"/>
      <c r="B230" s="74" t="s">
        <v>141</v>
      </c>
      <c r="C230" s="3" t="s">
        <v>270</v>
      </c>
      <c r="D230" s="6">
        <v>98038.08</v>
      </c>
      <c r="E230" s="5">
        <v>0</v>
      </c>
      <c r="F230" s="63">
        <v>1</v>
      </c>
      <c r="G230" s="1">
        <f aca="true" t="shared" si="44" ref="G230:G268">ROUND(E230*F230,0)</f>
        <v>0</v>
      </c>
      <c r="H230" s="5">
        <f aca="true" t="shared" si="45" ref="H230:H268">G230</f>
        <v>0</v>
      </c>
      <c r="I230" s="64">
        <v>1</v>
      </c>
      <c r="J230" s="1">
        <f aca="true" t="shared" si="46" ref="J230:J268">ROUND(H230*I230,0)</f>
        <v>0</v>
      </c>
      <c r="K230" s="5">
        <f t="shared" si="43"/>
        <v>0</v>
      </c>
      <c r="L230" s="63">
        <v>1</v>
      </c>
      <c r="M230" s="1">
        <f aca="true" t="shared" si="47" ref="M230:M268">ROUND(K230*L230,0)</f>
        <v>0</v>
      </c>
      <c r="N230" s="52"/>
    </row>
    <row r="231" spans="1:14" ht="24">
      <c r="A231" s="73"/>
      <c r="B231" s="74" t="s">
        <v>154</v>
      </c>
      <c r="C231" s="3" t="s">
        <v>155</v>
      </c>
      <c r="D231" s="6">
        <v>16364.37</v>
      </c>
      <c r="E231" s="5">
        <v>16364.37</v>
      </c>
      <c r="F231" s="63">
        <v>1</v>
      </c>
      <c r="G231" s="1">
        <f t="shared" si="44"/>
        <v>16364</v>
      </c>
      <c r="H231" s="5">
        <f t="shared" si="45"/>
        <v>16364</v>
      </c>
      <c r="I231" s="64">
        <v>1</v>
      </c>
      <c r="J231" s="1">
        <f t="shared" si="46"/>
        <v>16364</v>
      </c>
      <c r="K231" s="5">
        <f t="shared" si="43"/>
        <v>16364</v>
      </c>
      <c r="L231" s="63">
        <v>1</v>
      </c>
      <c r="M231" s="1">
        <f t="shared" si="47"/>
        <v>16364</v>
      </c>
      <c r="N231" s="52" t="s">
        <v>518</v>
      </c>
    </row>
    <row r="232" spans="1:14" ht="12">
      <c r="A232" s="71">
        <f>1+A228</f>
        <v>2</v>
      </c>
      <c r="B232" s="78" t="s">
        <v>297</v>
      </c>
      <c r="C232" s="38"/>
      <c r="D232" s="32"/>
      <c r="E232" s="5"/>
      <c r="F232" s="63"/>
      <c r="G232" s="1">
        <f t="shared" si="44"/>
        <v>0</v>
      </c>
      <c r="H232" s="5"/>
      <c r="I232" s="64"/>
      <c r="J232" s="1">
        <f t="shared" si="46"/>
        <v>0</v>
      </c>
      <c r="K232" s="5"/>
      <c r="L232" s="63"/>
      <c r="M232" s="1">
        <f t="shared" si="47"/>
        <v>0</v>
      </c>
      <c r="N232" s="55"/>
    </row>
    <row r="233" spans="1:14" ht="22.5">
      <c r="A233" s="72"/>
      <c r="B233" s="74" t="s">
        <v>161</v>
      </c>
      <c r="C233" s="3" t="s">
        <v>271</v>
      </c>
      <c r="D233" s="6">
        <v>2578287.36</v>
      </c>
      <c r="E233" s="5">
        <v>2441731.84</v>
      </c>
      <c r="F233" s="63">
        <v>1</v>
      </c>
      <c r="G233" s="1">
        <f t="shared" si="44"/>
        <v>2441732</v>
      </c>
      <c r="H233" s="5">
        <f t="shared" si="45"/>
        <v>2441732</v>
      </c>
      <c r="I233" s="64">
        <v>1</v>
      </c>
      <c r="J233" s="1">
        <f t="shared" si="46"/>
        <v>2441732</v>
      </c>
      <c r="K233" s="5">
        <f t="shared" si="43"/>
        <v>2441732</v>
      </c>
      <c r="L233" s="63">
        <v>1</v>
      </c>
      <c r="M233" s="1">
        <f t="shared" si="47"/>
        <v>2441732</v>
      </c>
      <c r="N233" s="52" t="s">
        <v>1192</v>
      </c>
    </row>
    <row r="234" spans="1:14" ht="24">
      <c r="A234" s="72"/>
      <c r="B234" s="74" t="s">
        <v>162</v>
      </c>
      <c r="C234" s="3" t="s">
        <v>272</v>
      </c>
      <c r="D234" s="714">
        <v>101660.54</v>
      </c>
      <c r="E234" s="708">
        <v>90754.43</v>
      </c>
      <c r="F234" s="709">
        <v>1</v>
      </c>
      <c r="G234" s="710">
        <f t="shared" si="44"/>
        <v>90754</v>
      </c>
      <c r="H234" s="708">
        <f t="shared" si="45"/>
        <v>90754</v>
      </c>
      <c r="I234" s="711">
        <v>1</v>
      </c>
      <c r="J234" s="710">
        <f t="shared" si="46"/>
        <v>90754</v>
      </c>
      <c r="K234" s="708">
        <f t="shared" si="43"/>
        <v>90754</v>
      </c>
      <c r="L234" s="709">
        <v>1</v>
      </c>
      <c r="M234" s="710">
        <f t="shared" si="47"/>
        <v>90754</v>
      </c>
      <c r="N234" s="52" t="s">
        <v>1193</v>
      </c>
    </row>
    <row r="235" spans="1:14" ht="22.5">
      <c r="A235" s="72"/>
      <c r="B235" s="74" t="s">
        <v>163</v>
      </c>
      <c r="C235" s="3" t="s">
        <v>271</v>
      </c>
      <c r="D235" s="714">
        <v>371768.41</v>
      </c>
      <c r="E235" s="708">
        <v>428568.4</v>
      </c>
      <c r="F235" s="709">
        <v>1</v>
      </c>
      <c r="G235" s="710">
        <f t="shared" si="44"/>
        <v>428568</v>
      </c>
      <c r="H235" s="708">
        <f t="shared" si="45"/>
        <v>428568</v>
      </c>
      <c r="I235" s="711">
        <v>1</v>
      </c>
      <c r="J235" s="710">
        <f t="shared" si="46"/>
        <v>428568</v>
      </c>
      <c r="K235" s="708">
        <f t="shared" si="43"/>
        <v>428568</v>
      </c>
      <c r="L235" s="709">
        <v>1</v>
      </c>
      <c r="M235" s="710">
        <f t="shared" si="47"/>
        <v>428568</v>
      </c>
      <c r="N235" s="52" t="s">
        <v>1190</v>
      </c>
    </row>
    <row r="236" spans="1:14" ht="24">
      <c r="A236" s="73"/>
      <c r="B236" s="74" t="s">
        <v>162</v>
      </c>
      <c r="C236" s="3" t="s">
        <v>272</v>
      </c>
      <c r="D236" s="714">
        <v>14459.8</v>
      </c>
      <c r="E236" s="708">
        <v>17850.88</v>
      </c>
      <c r="F236" s="709">
        <v>1</v>
      </c>
      <c r="G236" s="710">
        <f t="shared" si="44"/>
        <v>17851</v>
      </c>
      <c r="H236" s="708">
        <f t="shared" si="45"/>
        <v>17851</v>
      </c>
      <c r="I236" s="711">
        <v>1</v>
      </c>
      <c r="J236" s="710">
        <f t="shared" si="46"/>
        <v>17851</v>
      </c>
      <c r="K236" s="708">
        <f t="shared" si="43"/>
        <v>17851</v>
      </c>
      <c r="L236" s="709">
        <v>1</v>
      </c>
      <c r="M236" s="710">
        <f t="shared" si="47"/>
        <v>17851</v>
      </c>
      <c r="N236" s="52" t="s">
        <v>1191</v>
      </c>
    </row>
    <row r="237" spans="1:14" ht="25.5" customHeight="1">
      <c r="A237" s="72">
        <v>7</v>
      </c>
      <c r="B237" s="78" t="s">
        <v>477</v>
      </c>
      <c r="C237" s="34" t="s">
        <v>408</v>
      </c>
      <c r="D237" s="6"/>
      <c r="E237" s="5"/>
      <c r="F237" s="63">
        <v>1</v>
      </c>
      <c r="G237" s="1">
        <f t="shared" si="44"/>
        <v>0</v>
      </c>
      <c r="H237" s="5">
        <f t="shared" si="45"/>
        <v>0</v>
      </c>
      <c r="I237" s="64">
        <v>1</v>
      </c>
      <c r="J237" s="1">
        <f t="shared" si="46"/>
        <v>0</v>
      </c>
      <c r="K237" s="5">
        <f>J237</f>
        <v>0</v>
      </c>
      <c r="L237" s="63">
        <v>1</v>
      </c>
      <c r="M237" s="1">
        <f t="shared" si="47"/>
        <v>0</v>
      </c>
      <c r="N237" s="52"/>
    </row>
    <row r="238" spans="1:14" ht="24">
      <c r="A238" s="72">
        <v>8</v>
      </c>
      <c r="B238" s="78" t="s">
        <v>451</v>
      </c>
      <c r="C238" s="34" t="s">
        <v>408</v>
      </c>
      <c r="D238" s="6"/>
      <c r="E238" s="5"/>
      <c r="F238" s="63">
        <v>1</v>
      </c>
      <c r="G238" s="1">
        <f t="shared" si="44"/>
        <v>0</v>
      </c>
      <c r="H238" s="5">
        <f t="shared" si="45"/>
        <v>0</v>
      </c>
      <c r="I238" s="64">
        <v>1</v>
      </c>
      <c r="J238" s="1">
        <f t="shared" si="46"/>
        <v>0</v>
      </c>
      <c r="K238" s="5">
        <f t="shared" si="43"/>
        <v>0</v>
      </c>
      <c r="L238" s="63">
        <v>1</v>
      </c>
      <c r="M238" s="1">
        <f t="shared" si="47"/>
        <v>0</v>
      </c>
      <c r="N238" s="52"/>
    </row>
    <row r="239" spans="1:14" ht="22.5">
      <c r="A239" s="73">
        <f>A238+1</f>
        <v>9</v>
      </c>
      <c r="B239" s="74" t="s">
        <v>301</v>
      </c>
      <c r="C239" s="3" t="s">
        <v>156</v>
      </c>
      <c r="D239" s="6"/>
      <c r="E239" s="5"/>
      <c r="F239" s="63">
        <v>1</v>
      </c>
      <c r="G239" s="1">
        <f t="shared" si="44"/>
        <v>0</v>
      </c>
      <c r="H239" s="5">
        <f t="shared" si="45"/>
        <v>0</v>
      </c>
      <c r="I239" s="64">
        <v>1</v>
      </c>
      <c r="J239" s="1">
        <f t="shared" si="46"/>
        <v>0</v>
      </c>
      <c r="K239" s="5">
        <f t="shared" si="43"/>
        <v>0</v>
      </c>
      <c r="L239" s="63">
        <v>1</v>
      </c>
      <c r="M239" s="1">
        <f t="shared" si="47"/>
        <v>0</v>
      </c>
      <c r="N239" s="52"/>
    </row>
    <row r="240" spans="1:14" ht="24">
      <c r="A240" s="50">
        <f>1+A239</f>
        <v>10</v>
      </c>
      <c r="B240" s="74" t="s">
        <v>158</v>
      </c>
      <c r="C240" s="3" t="s">
        <v>156</v>
      </c>
      <c r="D240" s="6"/>
      <c r="E240" s="5"/>
      <c r="F240" s="63">
        <v>1</v>
      </c>
      <c r="G240" s="1">
        <f t="shared" si="44"/>
        <v>0</v>
      </c>
      <c r="H240" s="5">
        <f t="shared" si="45"/>
        <v>0</v>
      </c>
      <c r="I240" s="64">
        <v>1</v>
      </c>
      <c r="J240" s="1">
        <f t="shared" si="46"/>
        <v>0</v>
      </c>
      <c r="K240" s="5">
        <f t="shared" si="43"/>
        <v>0</v>
      </c>
      <c r="L240" s="63">
        <v>1</v>
      </c>
      <c r="M240" s="1">
        <f t="shared" si="47"/>
        <v>0</v>
      </c>
      <c r="N240" s="52"/>
    </row>
    <row r="241" spans="1:14" ht="22.5">
      <c r="A241" s="50">
        <f>1+A240</f>
        <v>11</v>
      </c>
      <c r="B241" s="74" t="s">
        <v>157</v>
      </c>
      <c r="C241" s="3" t="s">
        <v>156</v>
      </c>
      <c r="D241" s="6">
        <v>16587</v>
      </c>
      <c r="E241" s="5">
        <v>16587</v>
      </c>
      <c r="F241" s="63">
        <v>1</v>
      </c>
      <c r="G241" s="1">
        <f t="shared" si="44"/>
        <v>16587</v>
      </c>
      <c r="H241" s="5">
        <f t="shared" si="45"/>
        <v>16587</v>
      </c>
      <c r="I241" s="64">
        <v>1</v>
      </c>
      <c r="J241" s="1">
        <f t="shared" si="46"/>
        <v>16587</v>
      </c>
      <c r="K241" s="5">
        <f t="shared" si="43"/>
        <v>16587</v>
      </c>
      <c r="L241" s="63">
        <v>1</v>
      </c>
      <c r="M241" s="1">
        <f t="shared" si="47"/>
        <v>16587</v>
      </c>
      <c r="N241" s="52" t="s">
        <v>802</v>
      </c>
    </row>
    <row r="242" spans="1:14" ht="24">
      <c r="A242" s="50">
        <f>1+A241</f>
        <v>12</v>
      </c>
      <c r="B242" s="74" t="s">
        <v>160</v>
      </c>
      <c r="C242" s="3" t="s">
        <v>274</v>
      </c>
      <c r="D242" s="6">
        <v>58623.89</v>
      </c>
      <c r="E242" s="5">
        <v>58623.89</v>
      </c>
      <c r="F242" s="63">
        <v>1</v>
      </c>
      <c r="G242" s="1">
        <f t="shared" si="44"/>
        <v>58624</v>
      </c>
      <c r="H242" s="5">
        <f t="shared" si="45"/>
        <v>58624</v>
      </c>
      <c r="I242" s="64">
        <v>1</v>
      </c>
      <c r="J242" s="1">
        <f t="shared" si="46"/>
        <v>58624</v>
      </c>
      <c r="K242" s="5">
        <f t="shared" si="43"/>
        <v>58624</v>
      </c>
      <c r="L242" s="63">
        <v>1</v>
      </c>
      <c r="M242" s="1">
        <f t="shared" si="47"/>
        <v>58624</v>
      </c>
      <c r="N242" s="52" t="s">
        <v>534</v>
      </c>
    </row>
    <row r="243" spans="1:14" ht="12">
      <c r="A243" s="71">
        <f>1+A242</f>
        <v>13</v>
      </c>
      <c r="B243" s="78" t="s">
        <v>170</v>
      </c>
      <c r="C243" s="38"/>
      <c r="D243" s="32"/>
      <c r="E243" s="5"/>
      <c r="F243" s="63"/>
      <c r="G243" s="1">
        <f t="shared" si="44"/>
        <v>0</v>
      </c>
      <c r="H243" s="5"/>
      <c r="I243" s="64"/>
      <c r="J243" s="1">
        <f t="shared" si="46"/>
        <v>0</v>
      </c>
      <c r="K243" s="5"/>
      <c r="L243" s="63"/>
      <c r="M243" s="1">
        <f t="shared" si="47"/>
        <v>0</v>
      </c>
      <c r="N243" s="55"/>
    </row>
    <row r="244" spans="1:14" ht="33.75">
      <c r="A244" s="72"/>
      <c r="B244" s="74" t="s">
        <v>171</v>
      </c>
      <c r="C244" s="3" t="s">
        <v>275</v>
      </c>
      <c r="D244" s="6"/>
      <c r="E244" s="5"/>
      <c r="F244" s="63">
        <v>1</v>
      </c>
      <c r="G244" s="1">
        <f t="shared" si="44"/>
        <v>0</v>
      </c>
      <c r="H244" s="5">
        <f t="shared" si="45"/>
        <v>0</v>
      </c>
      <c r="I244" s="64">
        <v>1</v>
      </c>
      <c r="J244" s="1">
        <f t="shared" si="46"/>
        <v>0</v>
      </c>
      <c r="K244" s="5">
        <f t="shared" si="43"/>
        <v>0</v>
      </c>
      <c r="L244" s="63">
        <v>1</v>
      </c>
      <c r="M244" s="1">
        <f t="shared" si="47"/>
        <v>0</v>
      </c>
      <c r="N244" s="52"/>
    </row>
    <row r="245" spans="1:14" ht="22.5">
      <c r="A245" s="72"/>
      <c r="B245" s="74" t="s">
        <v>172</v>
      </c>
      <c r="C245" s="3" t="s">
        <v>276</v>
      </c>
      <c r="D245" s="6">
        <v>78812.7</v>
      </c>
      <c r="E245" s="5">
        <v>78812.7</v>
      </c>
      <c r="F245" s="63">
        <v>1</v>
      </c>
      <c r="G245" s="1">
        <f t="shared" si="44"/>
        <v>78813</v>
      </c>
      <c r="H245" s="5">
        <f t="shared" si="45"/>
        <v>78813</v>
      </c>
      <c r="I245" s="64">
        <v>1</v>
      </c>
      <c r="J245" s="1">
        <f t="shared" si="46"/>
        <v>78813</v>
      </c>
      <c r="K245" s="5">
        <f t="shared" si="43"/>
        <v>78813</v>
      </c>
      <c r="L245" s="63">
        <v>1</v>
      </c>
      <c r="M245" s="1">
        <f t="shared" si="47"/>
        <v>78813</v>
      </c>
      <c r="N245" s="52" t="s">
        <v>535</v>
      </c>
    </row>
    <row r="246" spans="1:14" ht="22.5">
      <c r="A246" s="72"/>
      <c r="B246" s="74" t="s">
        <v>173</v>
      </c>
      <c r="C246" s="3" t="s">
        <v>276</v>
      </c>
      <c r="D246" s="6"/>
      <c r="E246" s="5"/>
      <c r="F246" s="63">
        <v>1</v>
      </c>
      <c r="G246" s="1">
        <f t="shared" si="44"/>
        <v>0</v>
      </c>
      <c r="H246" s="5">
        <f t="shared" si="45"/>
        <v>0</v>
      </c>
      <c r="I246" s="64">
        <v>1</v>
      </c>
      <c r="J246" s="1">
        <f t="shared" si="46"/>
        <v>0</v>
      </c>
      <c r="K246" s="5">
        <f t="shared" si="43"/>
        <v>0</v>
      </c>
      <c r="L246" s="63">
        <v>1</v>
      </c>
      <c r="M246" s="1">
        <f t="shared" si="47"/>
        <v>0</v>
      </c>
      <c r="N246" s="52"/>
    </row>
    <row r="247" spans="1:14" ht="22.5">
      <c r="A247" s="72"/>
      <c r="B247" s="74" t="s">
        <v>174</v>
      </c>
      <c r="C247" s="3" t="s">
        <v>276</v>
      </c>
      <c r="D247" s="6">
        <v>62300.63</v>
      </c>
      <c r="E247" s="5">
        <v>62300.63</v>
      </c>
      <c r="F247" s="63">
        <v>1</v>
      </c>
      <c r="G247" s="1">
        <f t="shared" si="44"/>
        <v>62301</v>
      </c>
      <c r="H247" s="5">
        <f t="shared" si="45"/>
        <v>62301</v>
      </c>
      <c r="I247" s="64">
        <v>1</v>
      </c>
      <c r="J247" s="1">
        <f t="shared" si="46"/>
        <v>62301</v>
      </c>
      <c r="K247" s="5">
        <f t="shared" si="43"/>
        <v>62301</v>
      </c>
      <c r="L247" s="63">
        <v>1</v>
      </c>
      <c r="M247" s="1">
        <f t="shared" si="47"/>
        <v>62301</v>
      </c>
      <c r="N247" s="52" t="s">
        <v>536</v>
      </c>
    </row>
    <row r="248" spans="1:14" ht="22.5">
      <c r="A248" s="72"/>
      <c r="B248" s="74" t="s">
        <v>175</v>
      </c>
      <c r="C248" s="3" t="s">
        <v>277</v>
      </c>
      <c r="D248" s="6">
        <v>4463.58</v>
      </c>
      <c r="E248" s="5">
        <v>4463.58</v>
      </c>
      <c r="F248" s="63">
        <v>1</v>
      </c>
      <c r="G248" s="1">
        <f t="shared" si="44"/>
        <v>4464</v>
      </c>
      <c r="H248" s="5">
        <f t="shared" si="45"/>
        <v>4464</v>
      </c>
      <c r="I248" s="64">
        <v>1</v>
      </c>
      <c r="J248" s="1">
        <f t="shared" si="46"/>
        <v>4464</v>
      </c>
      <c r="K248" s="5">
        <f t="shared" si="43"/>
        <v>4464</v>
      </c>
      <c r="L248" s="63">
        <v>1</v>
      </c>
      <c r="M248" s="1">
        <f t="shared" si="47"/>
        <v>4464</v>
      </c>
      <c r="N248" s="52" t="s">
        <v>537</v>
      </c>
    </row>
    <row r="249" spans="1:14" ht="22.5">
      <c r="A249" s="72"/>
      <c r="B249" s="74" t="s">
        <v>176</v>
      </c>
      <c r="C249" s="3" t="s">
        <v>278</v>
      </c>
      <c r="D249" s="6">
        <v>750</v>
      </c>
      <c r="E249" s="5">
        <v>750</v>
      </c>
      <c r="F249" s="63">
        <v>1</v>
      </c>
      <c r="G249" s="1">
        <f t="shared" si="44"/>
        <v>750</v>
      </c>
      <c r="H249" s="5">
        <f t="shared" si="45"/>
        <v>750</v>
      </c>
      <c r="I249" s="64">
        <v>1</v>
      </c>
      <c r="J249" s="1">
        <f t="shared" si="46"/>
        <v>750</v>
      </c>
      <c r="K249" s="5">
        <f t="shared" si="43"/>
        <v>750</v>
      </c>
      <c r="L249" s="63">
        <v>1</v>
      </c>
      <c r="M249" s="1">
        <f t="shared" si="47"/>
        <v>750</v>
      </c>
      <c r="N249" s="52" t="s">
        <v>538</v>
      </c>
    </row>
    <row r="250" spans="1:14" ht="22.5">
      <c r="A250" s="72"/>
      <c r="B250" s="74" t="s">
        <v>177</v>
      </c>
      <c r="C250" s="3" t="s">
        <v>279</v>
      </c>
      <c r="D250" s="6">
        <v>213</v>
      </c>
      <c r="E250" s="5">
        <v>213</v>
      </c>
      <c r="F250" s="63">
        <v>1</v>
      </c>
      <c r="G250" s="1">
        <f t="shared" si="44"/>
        <v>213</v>
      </c>
      <c r="H250" s="5">
        <f t="shared" si="45"/>
        <v>213</v>
      </c>
      <c r="I250" s="64">
        <v>1</v>
      </c>
      <c r="J250" s="1">
        <f t="shared" si="46"/>
        <v>213</v>
      </c>
      <c r="K250" s="5">
        <f t="shared" si="43"/>
        <v>213</v>
      </c>
      <c r="L250" s="63">
        <v>1</v>
      </c>
      <c r="M250" s="1">
        <f t="shared" si="47"/>
        <v>213</v>
      </c>
      <c r="N250" s="52" t="s">
        <v>539</v>
      </c>
    </row>
    <row r="251" spans="1:14" ht="22.5">
      <c r="A251" s="73"/>
      <c r="B251" s="75" t="s">
        <v>178</v>
      </c>
      <c r="C251" s="2" t="s">
        <v>280</v>
      </c>
      <c r="D251" s="6">
        <v>590.75</v>
      </c>
      <c r="E251" s="5">
        <v>590.75</v>
      </c>
      <c r="F251" s="63">
        <v>1</v>
      </c>
      <c r="G251" s="1">
        <f t="shared" si="44"/>
        <v>591</v>
      </c>
      <c r="H251" s="5">
        <f t="shared" si="45"/>
        <v>591</v>
      </c>
      <c r="I251" s="64">
        <v>1</v>
      </c>
      <c r="J251" s="1">
        <f t="shared" si="46"/>
        <v>591</v>
      </c>
      <c r="K251" s="5">
        <f t="shared" si="43"/>
        <v>591</v>
      </c>
      <c r="L251" s="63">
        <v>1</v>
      </c>
      <c r="M251" s="1">
        <f t="shared" si="47"/>
        <v>591</v>
      </c>
      <c r="N251" s="52" t="s">
        <v>540</v>
      </c>
    </row>
    <row r="252" spans="1:14" ht="12">
      <c r="A252" s="71">
        <f>A243+1</f>
        <v>14</v>
      </c>
      <c r="B252" s="78" t="s">
        <v>179</v>
      </c>
      <c r="C252" s="39"/>
      <c r="D252" s="32"/>
      <c r="E252" s="5"/>
      <c r="F252" s="63"/>
      <c r="G252" s="1">
        <f t="shared" si="44"/>
        <v>0</v>
      </c>
      <c r="H252" s="5"/>
      <c r="I252" s="64"/>
      <c r="J252" s="1">
        <f t="shared" si="46"/>
        <v>0</v>
      </c>
      <c r="K252" s="5"/>
      <c r="L252" s="63"/>
      <c r="M252" s="1">
        <f t="shared" si="47"/>
        <v>0</v>
      </c>
      <c r="N252" s="55"/>
    </row>
    <row r="253" spans="1:14" ht="24">
      <c r="A253" s="72"/>
      <c r="B253" s="74" t="s">
        <v>180</v>
      </c>
      <c r="C253" s="40" t="s">
        <v>281</v>
      </c>
      <c r="D253" s="6">
        <v>4844.7</v>
      </c>
      <c r="E253" s="5">
        <v>4844.7</v>
      </c>
      <c r="F253" s="63">
        <v>1</v>
      </c>
      <c r="G253" s="1">
        <f t="shared" si="44"/>
        <v>4845</v>
      </c>
      <c r="H253" s="5">
        <f t="shared" si="45"/>
        <v>4845</v>
      </c>
      <c r="I253" s="64">
        <v>1</v>
      </c>
      <c r="J253" s="1">
        <f t="shared" si="46"/>
        <v>4845</v>
      </c>
      <c r="K253" s="5">
        <f t="shared" si="43"/>
        <v>4845</v>
      </c>
      <c r="L253" s="63">
        <v>1</v>
      </c>
      <c r="M253" s="1">
        <f t="shared" si="47"/>
        <v>4845</v>
      </c>
      <c r="N253" s="52" t="s">
        <v>541</v>
      </c>
    </row>
    <row r="254" spans="1:14" ht="12">
      <c r="A254" s="72"/>
      <c r="B254" s="74" t="s">
        <v>181</v>
      </c>
      <c r="C254" s="40" t="s">
        <v>269</v>
      </c>
      <c r="D254" s="6">
        <v>475.32</v>
      </c>
      <c r="E254" s="5">
        <v>475.32</v>
      </c>
      <c r="F254" s="63">
        <v>1</v>
      </c>
      <c r="G254" s="1">
        <f t="shared" si="44"/>
        <v>475</v>
      </c>
      <c r="H254" s="5">
        <f t="shared" si="45"/>
        <v>475</v>
      </c>
      <c r="I254" s="64">
        <v>1</v>
      </c>
      <c r="J254" s="1">
        <f t="shared" si="46"/>
        <v>475</v>
      </c>
      <c r="K254" s="5">
        <f t="shared" si="43"/>
        <v>475</v>
      </c>
      <c r="L254" s="63">
        <v>1</v>
      </c>
      <c r="M254" s="1">
        <f t="shared" si="47"/>
        <v>475</v>
      </c>
      <c r="N254" s="52" t="s">
        <v>542</v>
      </c>
    </row>
    <row r="255" spans="1:14" ht="12">
      <c r="A255" s="72"/>
      <c r="B255" s="74" t="s">
        <v>182</v>
      </c>
      <c r="C255" s="3" t="s">
        <v>269</v>
      </c>
      <c r="D255" s="6"/>
      <c r="E255" s="5"/>
      <c r="F255" s="63">
        <v>1</v>
      </c>
      <c r="G255" s="1">
        <f t="shared" si="44"/>
        <v>0</v>
      </c>
      <c r="H255" s="5">
        <f t="shared" si="45"/>
        <v>0</v>
      </c>
      <c r="I255" s="64">
        <v>1</v>
      </c>
      <c r="J255" s="1">
        <f t="shared" si="46"/>
        <v>0</v>
      </c>
      <c r="K255" s="5">
        <f t="shared" si="43"/>
        <v>0</v>
      </c>
      <c r="L255" s="63">
        <v>1</v>
      </c>
      <c r="M255" s="1">
        <f t="shared" si="47"/>
        <v>0</v>
      </c>
      <c r="N255" s="52"/>
    </row>
    <row r="256" spans="1:14" ht="22.5">
      <c r="A256" s="72"/>
      <c r="B256" s="74" t="s">
        <v>183</v>
      </c>
      <c r="C256" s="3" t="s">
        <v>282</v>
      </c>
      <c r="D256" s="6">
        <v>739.53</v>
      </c>
      <c r="E256" s="5">
        <v>739.53</v>
      </c>
      <c r="F256" s="63">
        <v>1</v>
      </c>
      <c r="G256" s="1">
        <f t="shared" si="44"/>
        <v>740</v>
      </c>
      <c r="H256" s="5">
        <f t="shared" si="45"/>
        <v>740</v>
      </c>
      <c r="I256" s="64">
        <v>1</v>
      </c>
      <c r="J256" s="1">
        <f t="shared" si="46"/>
        <v>740</v>
      </c>
      <c r="K256" s="5">
        <f t="shared" si="43"/>
        <v>740</v>
      </c>
      <c r="L256" s="63">
        <v>1</v>
      </c>
      <c r="M256" s="1">
        <f t="shared" si="47"/>
        <v>740</v>
      </c>
      <c r="N256" s="52" t="s">
        <v>543</v>
      </c>
    </row>
    <row r="257" spans="1:14" ht="22.5">
      <c r="A257" s="72"/>
      <c r="B257" s="74" t="s">
        <v>184</v>
      </c>
      <c r="C257" s="3" t="s">
        <v>283</v>
      </c>
      <c r="D257" s="6">
        <v>24631</v>
      </c>
      <c r="E257" s="5">
        <v>24631</v>
      </c>
      <c r="F257" s="63">
        <v>1</v>
      </c>
      <c r="G257" s="1">
        <f t="shared" si="44"/>
        <v>24631</v>
      </c>
      <c r="H257" s="5">
        <f t="shared" si="45"/>
        <v>24631</v>
      </c>
      <c r="I257" s="64">
        <v>1</v>
      </c>
      <c r="J257" s="1">
        <f t="shared" si="46"/>
        <v>24631</v>
      </c>
      <c r="K257" s="5">
        <f t="shared" si="43"/>
        <v>24631</v>
      </c>
      <c r="L257" s="63">
        <v>1</v>
      </c>
      <c r="M257" s="1">
        <f t="shared" si="47"/>
        <v>24631</v>
      </c>
      <c r="N257" s="52" t="s">
        <v>544</v>
      </c>
    </row>
    <row r="258" spans="1:14" ht="12">
      <c r="A258" s="73"/>
      <c r="B258" s="74" t="s">
        <v>185</v>
      </c>
      <c r="C258" s="3" t="s">
        <v>269</v>
      </c>
      <c r="D258" s="6">
        <v>4750</v>
      </c>
      <c r="E258" s="5">
        <v>4750</v>
      </c>
      <c r="F258" s="63">
        <v>1</v>
      </c>
      <c r="G258" s="1">
        <f t="shared" si="44"/>
        <v>4750</v>
      </c>
      <c r="H258" s="5">
        <f t="shared" si="45"/>
        <v>4750</v>
      </c>
      <c r="I258" s="64">
        <v>1</v>
      </c>
      <c r="J258" s="1">
        <f t="shared" si="46"/>
        <v>4750</v>
      </c>
      <c r="K258" s="5">
        <f t="shared" si="43"/>
        <v>4750</v>
      </c>
      <c r="L258" s="63">
        <v>1</v>
      </c>
      <c r="M258" s="1">
        <f t="shared" si="47"/>
        <v>4750</v>
      </c>
      <c r="N258" s="52" t="s">
        <v>545</v>
      </c>
    </row>
    <row r="259" spans="1:14" ht="27.75" customHeight="1">
      <c r="A259" s="50">
        <f>1+A252</f>
        <v>15</v>
      </c>
      <c r="B259" s="74" t="s">
        <v>186</v>
      </c>
      <c r="C259" s="3" t="s">
        <v>269</v>
      </c>
      <c r="D259" s="6">
        <v>30861.5</v>
      </c>
      <c r="E259" s="5">
        <v>30681.5</v>
      </c>
      <c r="F259" s="63">
        <v>1</v>
      </c>
      <c r="G259" s="1">
        <f t="shared" si="44"/>
        <v>30682</v>
      </c>
      <c r="H259" s="5">
        <f t="shared" si="45"/>
        <v>30682</v>
      </c>
      <c r="I259" s="64">
        <v>1</v>
      </c>
      <c r="J259" s="1">
        <f t="shared" si="46"/>
        <v>30682</v>
      </c>
      <c r="K259" s="5">
        <f t="shared" si="43"/>
        <v>30682</v>
      </c>
      <c r="L259" s="63">
        <v>1</v>
      </c>
      <c r="M259" s="1">
        <f t="shared" si="47"/>
        <v>30682</v>
      </c>
      <c r="N259" s="52" t="s">
        <v>546</v>
      </c>
    </row>
    <row r="260" spans="1:14" ht="33.75">
      <c r="A260" s="50">
        <f>1+A259</f>
        <v>16</v>
      </c>
      <c r="B260" s="74" t="s">
        <v>302</v>
      </c>
      <c r="C260" s="34" t="s">
        <v>187</v>
      </c>
      <c r="D260" s="6">
        <v>4928.49</v>
      </c>
      <c r="E260" s="5">
        <v>4928.49</v>
      </c>
      <c r="F260" s="63">
        <v>1</v>
      </c>
      <c r="G260" s="1">
        <f t="shared" si="44"/>
        <v>4928</v>
      </c>
      <c r="H260" s="5">
        <f t="shared" si="45"/>
        <v>4928</v>
      </c>
      <c r="I260" s="64">
        <v>1</v>
      </c>
      <c r="J260" s="1">
        <f t="shared" si="46"/>
        <v>4928</v>
      </c>
      <c r="K260" s="5">
        <f t="shared" si="43"/>
        <v>4928</v>
      </c>
      <c r="L260" s="63">
        <v>1</v>
      </c>
      <c r="M260" s="1">
        <f t="shared" si="47"/>
        <v>4928</v>
      </c>
      <c r="N260" s="52" t="s">
        <v>802</v>
      </c>
    </row>
    <row r="261" spans="1:14" ht="33.75">
      <c r="A261" s="50">
        <f aca="true" t="shared" si="48" ref="A261:A267">1+A260</f>
        <v>17</v>
      </c>
      <c r="B261" s="74" t="s">
        <v>330</v>
      </c>
      <c r="C261" s="34" t="s">
        <v>187</v>
      </c>
      <c r="D261" s="6"/>
      <c r="E261" s="5"/>
      <c r="F261" s="63">
        <v>1</v>
      </c>
      <c r="G261" s="1">
        <f t="shared" si="44"/>
        <v>0</v>
      </c>
      <c r="H261" s="5">
        <f t="shared" si="45"/>
        <v>0</v>
      </c>
      <c r="I261" s="64">
        <v>1</v>
      </c>
      <c r="J261" s="1">
        <f t="shared" si="46"/>
        <v>0</v>
      </c>
      <c r="K261" s="5">
        <f t="shared" si="43"/>
        <v>0</v>
      </c>
      <c r="L261" s="63">
        <v>1</v>
      </c>
      <c r="M261" s="1">
        <f t="shared" si="47"/>
        <v>0</v>
      </c>
      <c r="N261" s="52"/>
    </row>
    <row r="262" spans="1:14" ht="33.75">
      <c r="A262" s="50">
        <f t="shared" si="48"/>
        <v>18</v>
      </c>
      <c r="B262" s="74" t="s">
        <v>331</v>
      </c>
      <c r="C262" s="34" t="s">
        <v>187</v>
      </c>
      <c r="D262" s="6"/>
      <c r="E262" s="5"/>
      <c r="F262" s="63">
        <v>1</v>
      </c>
      <c r="G262" s="1">
        <f t="shared" si="44"/>
        <v>0</v>
      </c>
      <c r="H262" s="5">
        <f t="shared" si="45"/>
        <v>0</v>
      </c>
      <c r="I262" s="64">
        <v>1</v>
      </c>
      <c r="J262" s="1">
        <f t="shared" si="46"/>
        <v>0</v>
      </c>
      <c r="K262" s="5">
        <f t="shared" si="43"/>
        <v>0</v>
      </c>
      <c r="L262" s="63">
        <v>1</v>
      </c>
      <c r="M262" s="1">
        <f t="shared" si="47"/>
        <v>0</v>
      </c>
      <c r="N262" s="52"/>
    </row>
    <row r="263" spans="1:14" ht="33.75">
      <c r="A263" s="50">
        <f t="shared" si="48"/>
        <v>19</v>
      </c>
      <c r="B263" s="74" t="s">
        <v>332</v>
      </c>
      <c r="C263" s="34" t="s">
        <v>187</v>
      </c>
      <c r="D263" s="6"/>
      <c r="E263" s="5"/>
      <c r="F263" s="63">
        <v>1</v>
      </c>
      <c r="G263" s="1">
        <f t="shared" si="44"/>
        <v>0</v>
      </c>
      <c r="H263" s="5">
        <f t="shared" si="45"/>
        <v>0</v>
      </c>
      <c r="I263" s="64">
        <v>1</v>
      </c>
      <c r="J263" s="1">
        <f t="shared" si="46"/>
        <v>0</v>
      </c>
      <c r="K263" s="5">
        <f t="shared" si="43"/>
        <v>0</v>
      </c>
      <c r="L263" s="63">
        <v>1</v>
      </c>
      <c r="M263" s="1">
        <f t="shared" si="47"/>
        <v>0</v>
      </c>
      <c r="N263" s="52"/>
    </row>
    <row r="264" spans="1:14" ht="33.75">
      <c r="A264" s="50">
        <f t="shared" si="48"/>
        <v>20</v>
      </c>
      <c r="B264" s="74" t="s">
        <v>303</v>
      </c>
      <c r="C264" s="34" t="s">
        <v>187</v>
      </c>
      <c r="D264" s="6"/>
      <c r="E264" s="5"/>
      <c r="F264" s="63">
        <v>1</v>
      </c>
      <c r="G264" s="1">
        <f t="shared" si="44"/>
        <v>0</v>
      </c>
      <c r="H264" s="5">
        <f t="shared" si="45"/>
        <v>0</v>
      </c>
      <c r="I264" s="64">
        <v>1</v>
      </c>
      <c r="J264" s="1">
        <f t="shared" si="46"/>
        <v>0</v>
      </c>
      <c r="K264" s="5">
        <f t="shared" si="43"/>
        <v>0</v>
      </c>
      <c r="L264" s="63">
        <v>1</v>
      </c>
      <c r="M264" s="1">
        <f t="shared" si="47"/>
        <v>0</v>
      </c>
      <c r="N264" s="52"/>
    </row>
    <row r="265" spans="1:14" ht="33.75">
      <c r="A265" s="50">
        <f t="shared" si="48"/>
        <v>21</v>
      </c>
      <c r="B265" s="74" t="s">
        <v>304</v>
      </c>
      <c r="C265" s="34" t="s">
        <v>187</v>
      </c>
      <c r="D265" s="6">
        <v>70037.4</v>
      </c>
      <c r="E265" s="5">
        <v>70037.4</v>
      </c>
      <c r="F265" s="63">
        <v>1</v>
      </c>
      <c r="G265" s="1">
        <f t="shared" si="44"/>
        <v>70037</v>
      </c>
      <c r="H265" s="5">
        <f t="shared" si="45"/>
        <v>70037</v>
      </c>
      <c r="I265" s="64">
        <v>1</v>
      </c>
      <c r="J265" s="1">
        <f t="shared" si="46"/>
        <v>70037</v>
      </c>
      <c r="K265" s="5">
        <f t="shared" si="43"/>
        <v>70037</v>
      </c>
      <c r="L265" s="63">
        <v>1</v>
      </c>
      <c r="M265" s="1">
        <f t="shared" si="47"/>
        <v>70037</v>
      </c>
      <c r="N265" s="52" t="s">
        <v>802</v>
      </c>
    </row>
    <row r="266" spans="1:14" ht="22.5">
      <c r="A266" s="50">
        <f t="shared" si="48"/>
        <v>22</v>
      </c>
      <c r="B266" s="74" t="s">
        <v>308</v>
      </c>
      <c r="C266" s="34" t="s">
        <v>156</v>
      </c>
      <c r="D266" s="6"/>
      <c r="E266" s="5"/>
      <c r="F266" s="63">
        <v>1</v>
      </c>
      <c r="G266" s="1">
        <f t="shared" si="44"/>
        <v>0</v>
      </c>
      <c r="H266" s="5">
        <f t="shared" si="45"/>
        <v>0</v>
      </c>
      <c r="I266" s="64">
        <v>1</v>
      </c>
      <c r="J266" s="1">
        <f t="shared" si="46"/>
        <v>0</v>
      </c>
      <c r="K266" s="5">
        <f t="shared" si="43"/>
        <v>0</v>
      </c>
      <c r="L266" s="63">
        <v>1</v>
      </c>
      <c r="M266" s="1">
        <f t="shared" si="47"/>
        <v>0</v>
      </c>
      <c r="N266" s="52"/>
    </row>
    <row r="267" spans="1:14" ht="12">
      <c r="A267" s="50">
        <f t="shared" si="48"/>
        <v>23</v>
      </c>
      <c r="B267" s="78" t="s">
        <v>188</v>
      </c>
      <c r="C267" s="38"/>
      <c r="D267" s="32"/>
      <c r="E267" s="5"/>
      <c r="F267" s="63"/>
      <c r="G267" s="1">
        <f t="shared" si="44"/>
        <v>0</v>
      </c>
      <c r="H267" s="5"/>
      <c r="I267" s="64"/>
      <c r="J267" s="1">
        <f t="shared" si="46"/>
        <v>0</v>
      </c>
      <c r="K267" s="5"/>
      <c r="L267" s="63"/>
      <c r="M267" s="1">
        <f t="shared" si="47"/>
        <v>0</v>
      </c>
      <c r="N267" s="55"/>
    </row>
    <row r="268" spans="1:14" ht="22.5">
      <c r="A268" s="72"/>
      <c r="B268" s="74" t="s">
        <v>189</v>
      </c>
      <c r="C268" s="3" t="s">
        <v>190</v>
      </c>
      <c r="D268" s="6">
        <v>29250</v>
      </c>
      <c r="E268" s="5">
        <v>29250</v>
      </c>
      <c r="F268" s="63">
        <v>1</v>
      </c>
      <c r="G268" s="1">
        <f t="shared" si="44"/>
        <v>29250</v>
      </c>
      <c r="H268" s="5">
        <f t="shared" si="45"/>
        <v>29250</v>
      </c>
      <c r="I268" s="64">
        <v>1</v>
      </c>
      <c r="J268" s="1">
        <f t="shared" si="46"/>
        <v>29250</v>
      </c>
      <c r="K268" s="5">
        <f t="shared" si="43"/>
        <v>29250</v>
      </c>
      <c r="L268" s="63">
        <v>1</v>
      </c>
      <c r="M268" s="1">
        <f t="shared" si="47"/>
        <v>29250</v>
      </c>
      <c r="N268" s="52" t="s">
        <v>548</v>
      </c>
    </row>
    <row r="269" spans="1:14" ht="22.5">
      <c r="A269" s="72"/>
      <c r="B269" s="74" t="s">
        <v>191</v>
      </c>
      <c r="C269" s="3" t="s">
        <v>192</v>
      </c>
      <c r="D269" s="6"/>
      <c r="E269" s="5"/>
      <c r="F269" s="63">
        <v>1</v>
      </c>
      <c r="G269" s="1">
        <f aca="true" t="shared" si="49" ref="G269:G320">ROUND(E269*F269,0)</f>
        <v>0</v>
      </c>
      <c r="H269" s="5">
        <f aca="true" t="shared" si="50" ref="H269:H320">G269</f>
        <v>0</v>
      </c>
      <c r="I269" s="64">
        <v>1</v>
      </c>
      <c r="J269" s="1">
        <f aca="true" t="shared" si="51" ref="J269:J300">ROUND(H269*I269,0)</f>
        <v>0</v>
      </c>
      <c r="K269" s="5">
        <f aca="true" t="shared" si="52" ref="K269:K320">J269</f>
        <v>0</v>
      </c>
      <c r="L269" s="63">
        <v>1</v>
      </c>
      <c r="M269" s="1">
        <f aca="true" t="shared" si="53" ref="M269:M320">ROUND(K269*L269,0)</f>
        <v>0</v>
      </c>
      <c r="N269" s="52"/>
    </row>
    <row r="270" spans="1:14" ht="22.5">
      <c r="A270" s="72"/>
      <c r="B270" s="75" t="s">
        <v>193</v>
      </c>
      <c r="C270" s="2" t="s">
        <v>192</v>
      </c>
      <c r="D270" s="6"/>
      <c r="E270" s="5"/>
      <c r="F270" s="63">
        <v>1</v>
      </c>
      <c r="G270" s="1">
        <f t="shared" si="49"/>
        <v>0</v>
      </c>
      <c r="H270" s="5">
        <f t="shared" si="50"/>
        <v>0</v>
      </c>
      <c r="I270" s="64">
        <v>1</v>
      </c>
      <c r="J270" s="1">
        <f t="shared" si="51"/>
        <v>0</v>
      </c>
      <c r="K270" s="5">
        <f t="shared" si="52"/>
        <v>0</v>
      </c>
      <c r="L270" s="63">
        <v>1</v>
      </c>
      <c r="M270" s="1">
        <f t="shared" si="53"/>
        <v>0</v>
      </c>
      <c r="N270" s="52"/>
    </row>
    <row r="271" spans="1:14" ht="22.5">
      <c r="A271" s="72"/>
      <c r="B271" s="74" t="s">
        <v>194</v>
      </c>
      <c r="C271" s="3" t="s">
        <v>136</v>
      </c>
      <c r="D271" s="6"/>
      <c r="E271" s="5"/>
      <c r="F271" s="63">
        <v>1</v>
      </c>
      <c r="G271" s="1">
        <f t="shared" si="49"/>
        <v>0</v>
      </c>
      <c r="H271" s="5">
        <f t="shared" si="50"/>
        <v>0</v>
      </c>
      <c r="I271" s="64">
        <v>1</v>
      </c>
      <c r="J271" s="1">
        <f t="shared" si="51"/>
        <v>0</v>
      </c>
      <c r="K271" s="5">
        <f t="shared" si="52"/>
        <v>0</v>
      </c>
      <c r="L271" s="63">
        <v>1</v>
      </c>
      <c r="M271" s="1">
        <f t="shared" si="53"/>
        <v>0</v>
      </c>
      <c r="N271" s="52"/>
    </row>
    <row r="272" spans="1:14" ht="24">
      <c r="A272" s="72"/>
      <c r="B272" s="74" t="s">
        <v>195</v>
      </c>
      <c r="C272" s="3" t="s">
        <v>136</v>
      </c>
      <c r="D272" s="6"/>
      <c r="E272" s="5"/>
      <c r="F272" s="63">
        <v>1</v>
      </c>
      <c r="G272" s="1">
        <f t="shared" si="49"/>
        <v>0</v>
      </c>
      <c r="H272" s="5">
        <f t="shared" si="50"/>
        <v>0</v>
      </c>
      <c r="I272" s="64">
        <v>1</v>
      </c>
      <c r="J272" s="1">
        <f t="shared" si="51"/>
        <v>0</v>
      </c>
      <c r="K272" s="5">
        <f t="shared" si="52"/>
        <v>0</v>
      </c>
      <c r="L272" s="63">
        <v>1</v>
      </c>
      <c r="M272" s="1">
        <f t="shared" si="53"/>
        <v>0</v>
      </c>
      <c r="N272" s="52"/>
    </row>
    <row r="273" spans="1:14" ht="22.5">
      <c r="A273" s="72"/>
      <c r="B273" s="74" t="s">
        <v>196</v>
      </c>
      <c r="C273" s="3" t="s">
        <v>136</v>
      </c>
      <c r="D273" s="6"/>
      <c r="E273" s="5"/>
      <c r="F273" s="63">
        <v>1</v>
      </c>
      <c r="G273" s="1">
        <f t="shared" si="49"/>
        <v>0</v>
      </c>
      <c r="H273" s="5">
        <f t="shared" si="50"/>
        <v>0</v>
      </c>
      <c r="I273" s="64">
        <v>1</v>
      </c>
      <c r="J273" s="1">
        <f t="shared" si="51"/>
        <v>0</v>
      </c>
      <c r="K273" s="5">
        <f t="shared" si="52"/>
        <v>0</v>
      </c>
      <c r="L273" s="63">
        <v>1</v>
      </c>
      <c r="M273" s="1">
        <f t="shared" si="53"/>
        <v>0</v>
      </c>
      <c r="N273" s="52"/>
    </row>
    <row r="274" spans="1:14" ht="22.5">
      <c r="A274" s="72"/>
      <c r="B274" s="74" t="s">
        <v>197</v>
      </c>
      <c r="C274" s="3" t="s">
        <v>136</v>
      </c>
      <c r="D274" s="6"/>
      <c r="E274" s="5"/>
      <c r="F274" s="63">
        <v>1</v>
      </c>
      <c r="G274" s="1">
        <f t="shared" si="49"/>
        <v>0</v>
      </c>
      <c r="H274" s="5">
        <f t="shared" si="50"/>
        <v>0</v>
      </c>
      <c r="I274" s="64">
        <v>1</v>
      </c>
      <c r="J274" s="1">
        <f t="shared" si="51"/>
        <v>0</v>
      </c>
      <c r="K274" s="5">
        <f t="shared" si="52"/>
        <v>0</v>
      </c>
      <c r="L274" s="63">
        <v>1</v>
      </c>
      <c r="M274" s="1">
        <f t="shared" si="53"/>
        <v>0</v>
      </c>
      <c r="N274" s="52"/>
    </row>
    <row r="275" spans="1:14" ht="22.5">
      <c r="A275" s="72"/>
      <c r="B275" s="74" t="s">
        <v>198</v>
      </c>
      <c r="C275" s="3" t="s">
        <v>136</v>
      </c>
      <c r="D275" s="6">
        <v>1000</v>
      </c>
      <c r="E275" s="5">
        <v>1000</v>
      </c>
      <c r="F275" s="63">
        <v>1</v>
      </c>
      <c r="G275" s="1">
        <f t="shared" si="49"/>
        <v>1000</v>
      </c>
      <c r="H275" s="5">
        <f t="shared" si="50"/>
        <v>1000</v>
      </c>
      <c r="I275" s="64">
        <v>1</v>
      </c>
      <c r="J275" s="1">
        <f t="shared" si="51"/>
        <v>1000</v>
      </c>
      <c r="K275" s="5">
        <f t="shared" si="52"/>
        <v>1000</v>
      </c>
      <c r="L275" s="63">
        <v>1</v>
      </c>
      <c r="M275" s="1">
        <f t="shared" si="53"/>
        <v>1000</v>
      </c>
      <c r="N275" s="52" t="s">
        <v>549</v>
      </c>
    </row>
    <row r="276" spans="1:14" ht="12">
      <c r="A276" s="72"/>
      <c r="B276" s="74" t="s">
        <v>199</v>
      </c>
      <c r="C276" s="3" t="s">
        <v>269</v>
      </c>
      <c r="D276" s="6">
        <v>27029.95</v>
      </c>
      <c r="E276" s="5">
        <v>27459.85</v>
      </c>
      <c r="F276" s="63">
        <v>1</v>
      </c>
      <c r="G276" s="1">
        <f>ROUND(E276*F276,0)</f>
        <v>27460</v>
      </c>
      <c r="H276" s="1">
        <f>ROUND(F276*G276,0)</f>
        <v>27460</v>
      </c>
      <c r="I276" s="64">
        <v>1</v>
      </c>
      <c r="J276" s="1">
        <f t="shared" si="51"/>
        <v>27460</v>
      </c>
      <c r="K276" s="5">
        <f t="shared" si="52"/>
        <v>27460</v>
      </c>
      <c r="L276" s="63">
        <v>1</v>
      </c>
      <c r="M276" s="1">
        <f t="shared" si="53"/>
        <v>27460</v>
      </c>
      <c r="N276" s="52" t="s">
        <v>897</v>
      </c>
    </row>
    <row r="277" spans="1:14" ht="24">
      <c r="A277" s="73"/>
      <c r="B277" s="74" t="s">
        <v>200</v>
      </c>
      <c r="C277" s="3" t="s">
        <v>269</v>
      </c>
      <c r="D277" s="6">
        <v>1364.14</v>
      </c>
      <c r="E277" s="5">
        <v>1364.14</v>
      </c>
      <c r="F277" s="63">
        <v>1</v>
      </c>
      <c r="G277" s="1">
        <f t="shared" si="49"/>
        <v>1364</v>
      </c>
      <c r="H277" s="5">
        <f t="shared" si="50"/>
        <v>1364</v>
      </c>
      <c r="I277" s="64">
        <v>1</v>
      </c>
      <c r="J277" s="1">
        <f t="shared" si="51"/>
        <v>1364</v>
      </c>
      <c r="K277" s="5">
        <f t="shared" si="52"/>
        <v>1364</v>
      </c>
      <c r="L277" s="63">
        <v>1</v>
      </c>
      <c r="M277" s="1">
        <f t="shared" si="53"/>
        <v>1364</v>
      </c>
      <c r="N277" s="52" t="s">
        <v>550</v>
      </c>
    </row>
    <row r="278" spans="1:14" ht="24">
      <c r="A278" s="50">
        <f>1+A267</f>
        <v>24</v>
      </c>
      <c r="B278" s="74" t="s">
        <v>201</v>
      </c>
      <c r="C278" s="3" t="s">
        <v>136</v>
      </c>
      <c r="D278" s="6">
        <v>13834.46</v>
      </c>
      <c r="E278" s="5">
        <v>13834.46</v>
      </c>
      <c r="F278" s="63">
        <v>1</v>
      </c>
      <c r="G278" s="1">
        <f t="shared" si="49"/>
        <v>13834</v>
      </c>
      <c r="H278" s="5">
        <f t="shared" si="50"/>
        <v>13834</v>
      </c>
      <c r="I278" s="64">
        <v>1</v>
      </c>
      <c r="J278" s="1">
        <f t="shared" si="51"/>
        <v>13834</v>
      </c>
      <c r="K278" s="5">
        <f t="shared" si="52"/>
        <v>13834</v>
      </c>
      <c r="L278" s="63">
        <v>1</v>
      </c>
      <c r="M278" s="1">
        <f t="shared" si="53"/>
        <v>13834</v>
      </c>
      <c r="N278" s="52" t="s">
        <v>547</v>
      </c>
    </row>
    <row r="279" spans="1:14" ht="24">
      <c r="A279" s="50">
        <f>1+A278</f>
        <v>25</v>
      </c>
      <c r="B279" s="74" t="s">
        <v>329</v>
      </c>
      <c r="C279" s="3" t="s">
        <v>156</v>
      </c>
      <c r="D279" s="6"/>
      <c r="E279" s="5"/>
      <c r="F279" s="63">
        <v>1</v>
      </c>
      <c r="G279" s="1">
        <f t="shared" si="49"/>
        <v>0</v>
      </c>
      <c r="H279" s="5">
        <f t="shared" si="50"/>
        <v>0</v>
      </c>
      <c r="I279" s="64">
        <v>1</v>
      </c>
      <c r="J279" s="1">
        <f t="shared" si="51"/>
        <v>0</v>
      </c>
      <c r="K279" s="5">
        <f t="shared" si="52"/>
        <v>0</v>
      </c>
      <c r="L279" s="63">
        <v>1</v>
      </c>
      <c r="M279" s="1">
        <f t="shared" si="53"/>
        <v>0</v>
      </c>
      <c r="N279" s="52"/>
    </row>
    <row r="280" spans="1:14" ht="22.5">
      <c r="A280" s="50">
        <f aca="true" t="shared" si="54" ref="A280:A287">1+A279</f>
        <v>26</v>
      </c>
      <c r="B280" s="74" t="s">
        <v>202</v>
      </c>
      <c r="C280" s="3" t="s">
        <v>136</v>
      </c>
      <c r="D280" s="6"/>
      <c r="E280" s="5"/>
      <c r="F280" s="63">
        <v>1</v>
      </c>
      <c r="G280" s="1">
        <f t="shared" si="49"/>
        <v>0</v>
      </c>
      <c r="H280" s="5">
        <f t="shared" si="50"/>
        <v>0</v>
      </c>
      <c r="I280" s="64">
        <v>1</v>
      </c>
      <c r="J280" s="1">
        <f t="shared" si="51"/>
        <v>0</v>
      </c>
      <c r="K280" s="5">
        <f t="shared" si="52"/>
        <v>0</v>
      </c>
      <c r="L280" s="63">
        <v>1</v>
      </c>
      <c r="M280" s="1">
        <f t="shared" si="53"/>
        <v>0</v>
      </c>
      <c r="N280" s="52"/>
    </row>
    <row r="281" spans="1:14" ht="24">
      <c r="A281" s="50">
        <f t="shared" si="54"/>
        <v>27</v>
      </c>
      <c r="B281" s="74" t="s">
        <v>203</v>
      </c>
      <c r="C281" s="3" t="s">
        <v>136</v>
      </c>
      <c r="D281" s="6"/>
      <c r="E281" s="5"/>
      <c r="F281" s="63">
        <v>1</v>
      </c>
      <c r="G281" s="1">
        <f t="shared" si="49"/>
        <v>0</v>
      </c>
      <c r="H281" s="5">
        <f t="shared" si="50"/>
        <v>0</v>
      </c>
      <c r="I281" s="64">
        <v>1</v>
      </c>
      <c r="J281" s="1">
        <f t="shared" si="51"/>
        <v>0</v>
      </c>
      <c r="K281" s="5">
        <f t="shared" si="52"/>
        <v>0</v>
      </c>
      <c r="L281" s="63">
        <v>1</v>
      </c>
      <c r="M281" s="1">
        <f t="shared" si="53"/>
        <v>0</v>
      </c>
      <c r="N281" s="52"/>
    </row>
    <row r="282" spans="1:14" ht="12">
      <c r="A282" s="50">
        <f t="shared" si="54"/>
        <v>28</v>
      </c>
      <c r="B282" s="74" t="s">
        <v>204</v>
      </c>
      <c r="C282" s="3" t="s">
        <v>156</v>
      </c>
      <c r="D282" s="6">
        <f>ROUND(32951.41,1)</f>
        <v>32951.4</v>
      </c>
      <c r="E282" s="5">
        <v>32951.4</v>
      </c>
      <c r="F282" s="63">
        <v>1</v>
      </c>
      <c r="G282" s="1">
        <f t="shared" si="49"/>
        <v>32951</v>
      </c>
      <c r="H282" s="5">
        <f t="shared" si="50"/>
        <v>32951</v>
      </c>
      <c r="I282" s="64">
        <v>1</v>
      </c>
      <c r="J282" s="1">
        <f t="shared" si="51"/>
        <v>32951</v>
      </c>
      <c r="K282" s="5">
        <f t="shared" si="52"/>
        <v>32951</v>
      </c>
      <c r="L282" s="63">
        <v>1</v>
      </c>
      <c r="M282" s="1">
        <f t="shared" si="53"/>
        <v>32951</v>
      </c>
      <c r="N282" s="52" t="s">
        <v>520</v>
      </c>
    </row>
    <row r="283" spans="1:14" ht="24">
      <c r="A283" s="50">
        <f t="shared" si="54"/>
        <v>29</v>
      </c>
      <c r="B283" s="74" t="s">
        <v>205</v>
      </c>
      <c r="C283" s="3" t="s">
        <v>286</v>
      </c>
      <c r="D283" s="6"/>
      <c r="E283" s="5"/>
      <c r="F283" s="63">
        <v>1</v>
      </c>
      <c r="G283" s="1">
        <f t="shared" si="49"/>
        <v>0</v>
      </c>
      <c r="H283" s="5">
        <f t="shared" si="50"/>
        <v>0</v>
      </c>
      <c r="I283" s="64">
        <v>1</v>
      </c>
      <c r="J283" s="1">
        <f t="shared" si="51"/>
        <v>0</v>
      </c>
      <c r="K283" s="5">
        <f t="shared" si="52"/>
        <v>0</v>
      </c>
      <c r="L283" s="63">
        <v>1</v>
      </c>
      <c r="M283" s="1">
        <f t="shared" si="53"/>
        <v>0</v>
      </c>
      <c r="N283" s="52"/>
    </row>
    <row r="284" spans="1:14" ht="22.5">
      <c r="A284" s="50">
        <f t="shared" si="54"/>
        <v>30</v>
      </c>
      <c r="B284" s="74" t="s">
        <v>135</v>
      </c>
      <c r="C284" s="3" t="s">
        <v>136</v>
      </c>
      <c r="D284" s="6"/>
      <c r="E284" s="5"/>
      <c r="F284" s="63">
        <v>1</v>
      </c>
      <c r="G284" s="1">
        <f t="shared" si="49"/>
        <v>0</v>
      </c>
      <c r="H284" s="5">
        <f t="shared" si="50"/>
        <v>0</v>
      </c>
      <c r="I284" s="64">
        <v>1</v>
      </c>
      <c r="J284" s="1">
        <f t="shared" si="51"/>
        <v>0</v>
      </c>
      <c r="K284" s="5">
        <f t="shared" si="52"/>
        <v>0</v>
      </c>
      <c r="L284" s="63">
        <v>1</v>
      </c>
      <c r="M284" s="1">
        <f t="shared" si="53"/>
        <v>0</v>
      </c>
      <c r="N284" s="52"/>
    </row>
    <row r="285" spans="1:14" ht="24">
      <c r="A285" s="50">
        <f t="shared" si="54"/>
        <v>31</v>
      </c>
      <c r="B285" s="74" t="s">
        <v>230</v>
      </c>
      <c r="C285" s="3" t="s">
        <v>115</v>
      </c>
      <c r="D285" s="6"/>
      <c r="E285" s="5"/>
      <c r="F285" s="63">
        <v>1</v>
      </c>
      <c r="G285" s="1">
        <f t="shared" si="49"/>
        <v>0</v>
      </c>
      <c r="H285" s="5">
        <f t="shared" si="50"/>
        <v>0</v>
      </c>
      <c r="I285" s="64">
        <v>1</v>
      </c>
      <c r="J285" s="1">
        <f t="shared" si="51"/>
        <v>0</v>
      </c>
      <c r="K285" s="5">
        <f t="shared" si="52"/>
        <v>0</v>
      </c>
      <c r="L285" s="63">
        <v>1</v>
      </c>
      <c r="M285" s="1">
        <f t="shared" si="53"/>
        <v>0</v>
      </c>
      <c r="N285" s="52"/>
    </row>
    <row r="286" spans="1:14" ht="22.5">
      <c r="A286" s="50">
        <f t="shared" si="54"/>
        <v>32</v>
      </c>
      <c r="B286" s="74" t="s">
        <v>206</v>
      </c>
      <c r="C286" s="3" t="s">
        <v>136</v>
      </c>
      <c r="D286" s="6"/>
      <c r="E286" s="5"/>
      <c r="F286" s="63">
        <v>1</v>
      </c>
      <c r="G286" s="1">
        <f t="shared" si="49"/>
        <v>0</v>
      </c>
      <c r="H286" s="5">
        <f t="shared" si="50"/>
        <v>0</v>
      </c>
      <c r="I286" s="64">
        <v>1</v>
      </c>
      <c r="J286" s="1">
        <f t="shared" si="51"/>
        <v>0</v>
      </c>
      <c r="K286" s="5">
        <f t="shared" si="52"/>
        <v>0</v>
      </c>
      <c r="L286" s="63">
        <v>1</v>
      </c>
      <c r="M286" s="1">
        <f t="shared" si="53"/>
        <v>0</v>
      </c>
      <c r="N286" s="52"/>
    </row>
    <row r="287" spans="1:14" ht="24">
      <c r="A287" s="50">
        <f t="shared" si="54"/>
        <v>33</v>
      </c>
      <c r="B287" s="78" t="s">
        <v>217</v>
      </c>
      <c r="C287" s="38"/>
      <c r="D287" s="32"/>
      <c r="E287" s="5"/>
      <c r="F287" s="63"/>
      <c r="G287" s="1">
        <f t="shared" si="49"/>
        <v>0</v>
      </c>
      <c r="H287" s="5"/>
      <c r="I287" s="64"/>
      <c r="J287" s="1">
        <f t="shared" si="51"/>
        <v>0</v>
      </c>
      <c r="K287" s="5"/>
      <c r="L287" s="63"/>
      <c r="M287" s="1">
        <f t="shared" si="53"/>
        <v>0</v>
      </c>
      <c r="N287" s="55"/>
    </row>
    <row r="288" spans="1:14" ht="22.5">
      <c r="A288" s="72"/>
      <c r="B288" s="74" t="s">
        <v>211</v>
      </c>
      <c r="C288" s="3" t="s">
        <v>213</v>
      </c>
      <c r="D288" s="6"/>
      <c r="E288" s="5"/>
      <c r="F288" s="63">
        <v>1</v>
      </c>
      <c r="G288" s="1">
        <f t="shared" si="49"/>
        <v>0</v>
      </c>
      <c r="H288" s="5">
        <f t="shared" si="50"/>
        <v>0</v>
      </c>
      <c r="I288" s="64">
        <v>1</v>
      </c>
      <c r="J288" s="1">
        <f t="shared" si="51"/>
        <v>0</v>
      </c>
      <c r="K288" s="5">
        <f t="shared" si="52"/>
        <v>0</v>
      </c>
      <c r="L288" s="63">
        <v>1</v>
      </c>
      <c r="M288" s="1">
        <f t="shared" si="53"/>
        <v>0</v>
      </c>
      <c r="N288" s="52"/>
    </row>
    <row r="289" spans="1:14" ht="22.5">
      <c r="A289" s="72"/>
      <c r="B289" s="74" t="s">
        <v>212</v>
      </c>
      <c r="C289" s="3" t="s">
        <v>213</v>
      </c>
      <c r="D289" s="6"/>
      <c r="E289" s="5"/>
      <c r="F289" s="63">
        <v>1</v>
      </c>
      <c r="G289" s="1">
        <f t="shared" si="49"/>
        <v>0</v>
      </c>
      <c r="H289" s="5">
        <f t="shared" si="50"/>
        <v>0</v>
      </c>
      <c r="I289" s="64">
        <v>1</v>
      </c>
      <c r="J289" s="1">
        <f t="shared" si="51"/>
        <v>0</v>
      </c>
      <c r="K289" s="5">
        <f t="shared" si="52"/>
        <v>0</v>
      </c>
      <c r="L289" s="63">
        <v>1</v>
      </c>
      <c r="M289" s="1">
        <f t="shared" si="53"/>
        <v>0</v>
      </c>
      <c r="N289" s="52"/>
    </row>
    <row r="290" spans="1:14" ht="12">
      <c r="A290" s="72"/>
      <c r="B290" s="74" t="s">
        <v>229</v>
      </c>
      <c r="C290" s="3" t="s">
        <v>216</v>
      </c>
      <c r="D290" s="6"/>
      <c r="E290" s="5"/>
      <c r="F290" s="63">
        <v>1</v>
      </c>
      <c r="G290" s="1">
        <f t="shared" si="49"/>
        <v>0</v>
      </c>
      <c r="H290" s="5">
        <f t="shared" si="50"/>
        <v>0</v>
      </c>
      <c r="I290" s="64">
        <v>1</v>
      </c>
      <c r="J290" s="1">
        <f t="shared" si="51"/>
        <v>0</v>
      </c>
      <c r="K290" s="5">
        <f t="shared" si="52"/>
        <v>0</v>
      </c>
      <c r="L290" s="63">
        <v>1</v>
      </c>
      <c r="M290" s="1">
        <f t="shared" si="53"/>
        <v>0</v>
      </c>
      <c r="N290" s="52"/>
    </row>
    <row r="291" spans="1:14" ht="12">
      <c r="A291" s="72"/>
      <c r="B291" s="74" t="s">
        <v>214</v>
      </c>
      <c r="C291" s="3" t="s">
        <v>216</v>
      </c>
      <c r="D291" s="6"/>
      <c r="E291" s="5"/>
      <c r="F291" s="63">
        <v>1</v>
      </c>
      <c r="G291" s="1">
        <f t="shared" si="49"/>
        <v>0</v>
      </c>
      <c r="H291" s="5">
        <f t="shared" si="50"/>
        <v>0</v>
      </c>
      <c r="I291" s="64">
        <v>1</v>
      </c>
      <c r="J291" s="1">
        <f t="shared" si="51"/>
        <v>0</v>
      </c>
      <c r="K291" s="5">
        <f t="shared" si="52"/>
        <v>0</v>
      </c>
      <c r="L291" s="63">
        <v>1</v>
      </c>
      <c r="M291" s="1">
        <f t="shared" si="53"/>
        <v>0</v>
      </c>
      <c r="N291" s="52"/>
    </row>
    <row r="292" spans="1:14" ht="12">
      <c r="A292" s="73"/>
      <c r="B292" s="74" t="s">
        <v>215</v>
      </c>
      <c r="C292" s="3" t="s">
        <v>216</v>
      </c>
      <c r="D292" s="6"/>
      <c r="E292" s="5"/>
      <c r="F292" s="63">
        <v>1</v>
      </c>
      <c r="G292" s="1">
        <f t="shared" si="49"/>
        <v>0</v>
      </c>
      <c r="H292" s="5">
        <f t="shared" si="50"/>
        <v>0</v>
      </c>
      <c r="I292" s="64">
        <v>1</v>
      </c>
      <c r="J292" s="1">
        <f t="shared" si="51"/>
        <v>0</v>
      </c>
      <c r="K292" s="5">
        <f t="shared" si="52"/>
        <v>0</v>
      </c>
      <c r="L292" s="63">
        <v>1</v>
      </c>
      <c r="M292" s="1">
        <f t="shared" si="53"/>
        <v>0</v>
      </c>
      <c r="N292" s="52"/>
    </row>
    <row r="293" spans="1:14" ht="24">
      <c r="A293" s="50">
        <f>1+A287</f>
        <v>34</v>
      </c>
      <c r="B293" s="74" t="s">
        <v>207</v>
      </c>
      <c r="C293" s="3" t="s">
        <v>156</v>
      </c>
      <c r="D293" s="6"/>
      <c r="E293" s="5"/>
      <c r="F293" s="63">
        <v>1</v>
      </c>
      <c r="G293" s="1">
        <f t="shared" si="49"/>
        <v>0</v>
      </c>
      <c r="H293" s="5">
        <f t="shared" si="50"/>
        <v>0</v>
      </c>
      <c r="I293" s="64">
        <v>1</v>
      </c>
      <c r="J293" s="1">
        <f t="shared" si="51"/>
        <v>0</v>
      </c>
      <c r="K293" s="5">
        <f t="shared" si="52"/>
        <v>0</v>
      </c>
      <c r="L293" s="63">
        <v>1</v>
      </c>
      <c r="M293" s="1">
        <f t="shared" si="53"/>
        <v>0</v>
      </c>
      <c r="N293" s="52"/>
    </row>
    <row r="294" spans="1:14" ht="12">
      <c r="A294" s="71">
        <f>1+A293</f>
        <v>35</v>
      </c>
      <c r="B294" s="78" t="s">
        <v>208</v>
      </c>
      <c r="C294" s="38"/>
      <c r="D294" s="32"/>
      <c r="E294" s="5"/>
      <c r="F294" s="63"/>
      <c r="G294" s="1">
        <f t="shared" si="49"/>
        <v>0</v>
      </c>
      <c r="H294" s="5"/>
      <c r="I294" s="64"/>
      <c r="J294" s="1">
        <f t="shared" si="51"/>
        <v>0</v>
      </c>
      <c r="K294" s="5"/>
      <c r="L294" s="63"/>
      <c r="M294" s="1">
        <f t="shared" si="53"/>
        <v>0</v>
      </c>
      <c r="N294" s="55"/>
    </row>
    <row r="295" spans="1:14" ht="12">
      <c r="A295" s="72"/>
      <c r="B295" s="74" t="s">
        <v>209</v>
      </c>
      <c r="C295" s="3" t="s">
        <v>224</v>
      </c>
      <c r="D295" s="6"/>
      <c r="E295" s="5"/>
      <c r="F295" s="63">
        <v>1</v>
      </c>
      <c r="G295" s="1">
        <f t="shared" si="49"/>
        <v>0</v>
      </c>
      <c r="H295" s="5">
        <f t="shared" si="50"/>
        <v>0</v>
      </c>
      <c r="I295" s="64">
        <v>1</v>
      </c>
      <c r="J295" s="1">
        <f t="shared" si="51"/>
        <v>0</v>
      </c>
      <c r="K295" s="5">
        <f t="shared" si="52"/>
        <v>0</v>
      </c>
      <c r="L295" s="63">
        <v>1</v>
      </c>
      <c r="M295" s="1">
        <f t="shared" si="53"/>
        <v>0</v>
      </c>
      <c r="N295" s="52"/>
    </row>
    <row r="296" spans="1:14" ht="12">
      <c r="A296" s="72"/>
      <c r="B296" s="74" t="s">
        <v>242</v>
      </c>
      <c r="C296" s="3" t="s">
        <v>224</v>
      </c>
      <c r="D296" s="6"/>
      <c r="E296" s="5"/>
      <c r="F296" s="63">
        <v>1</v>
      </c>
      <c r="G296" s="1">
        <f t="shared" si="49"/>
        <v>0</v>
      </c>
      <c r="H296" s="5">
        <f t="shared" si="50"/>
        <v>0</v>
      </c>
      <c r="I296" s="64">
        <v>1</v>
      </c>
      <c r="J296" s="1">
        <f t="shared" si="51"/>
        <v>0</v>
      </c>
      <c r="K296" s="5">
        <f t="shared" si="52"/>
        <v>0</v>
      </c>
      <c r="L296" s="63">
        <v>1</v>
      </c>
      <c r="M296" s="1">
        <f t="shared" si="53"/>
        <v>0</v>
      </c>
      <c r="N296" s="52"/>
    </row>
    <row r="297" spans="1:14" ht="12">
      <c r="A297" s="72"/>
      <c r="B297" s="74" t="s">
        <v>240</v>
      </c>
      <c r="C297" s="3" t="s">
        <v>224</v>
      </c>
      <c r="D297" s="6"/>
      <c r="E297" s="5"/>
      <c r="F297" s="63">
        <v>1</v>
      </c>
      <c r="G297" s="1">
        <f t="shared" si="49"/>
        <v>0</v>
      </c>
      <c r="H297" s="5">
        <f t="shared" si="50"/>
        <v>0</v>
      </c>
      <c r="I297" s="64">
        <v>1</v>
      </c>
      <c r="J297" s="1">
        <f t="shared" si="51"/>
        <v>0</v>
      </c>
      <c r="K297" s="5">
        <f t="shared" si="52"/>
        <v>0</v>
      </c>
      <c r="L297" s="63">
        <v>1</v>
      </c>
      <c r="M297" s="1">
        <f t="shared" si="53"/>
        <v>0</v>
      </c>
      <c r="N297" s="52"/>
    </row>
    <row r="298" spans="1:14" ht="22.5">
      <c r="A298" s="72"/>
      <c r="B298" s="74" t="s">
        <v>241</v>
      </c>
      <c r="C298" s="3" t="s">
        <v>136</v>
      </c>
      <c r="D298" s="6"/>
      <c r="E298" s="5"/>
      <c r="F298" s="63">
        <v>1</v>
      </c>
      <c r="G298" s="1">
        <f t="shared" si="49"/>
        <v>0</v>
      </c>
      <c r="H298" s="5">
        <f t="shared" si="50"/>
        <v>0</v>
      </c>
      <c r="I298" s="64">
        <v>1</v>
      </c>
      <c r="J298" s="1">
        <f t="shared" si="51"/>
        <v>0</v>
      </c>
      <c r="K298" s="5">
        <f t="shared" si="52"/>
        <v>0</v>
      </c>
      <c r="L298" s="63">
        <v>1</v>
      </c>
      <c r="M298" s="1">
        <f t="shared" si="53"/>
        <v>0</v>
      </c>
      <c r="N298" s="52"/>
    </row>
    <row r="299" spans="1:14" ht="12">
      <c r="A299" s="72"/>
      <c r="B299" s="74" t="s">
        <v>210</v>
      </c>
      <c r="C299" s="3" t="s">
        <v>224</v>
      </c>
      <c r="D299" s="6"/>
      <c r="E299" s="5"/>
      <c r="F299" s="63">
        <v>1</v>
      </c>
      <c r="G299" s="1">
        <f t="shared" si="49"/>
        <v>0</v>
      </c>
      <c r="H299" s="5">
        <f t="shared" si="50"/>
        <v>0</v>
      </c>
      <c r="I299" s="64">
        <v>1</v>
      </c>
      <c r="J299" s="1">
        <f t="shared" si="51"/>
        <v>0</v>
      </c>
      <c r="K299" s="5">
        <f t="shared" si="52"/>
        <v>0</v>
      </c>
      <c r="L299" s="63">
        <v>1</v>
      </c>
      <c r="M299" s="1">
        <f t="shared" si="53"/>
        <v>0</v>
      </c>
      <c r="N299" s="52"/>
    </row>
    <row r="300" spans="1:14" ht="12">
      <c r="A300" s="72"/>
      <c r="B300" s="74" t="s">
        <v>478</v>
      </c>
      <c r="C300" s="3" t="s">
        <v>224</v>
      </c>
      <c r="D300" s="6"/>
      <c r="E300" s="5"/>
      <c r="F300" s="63">
        <v>1</v>
      </c>
      <c r="G300" s="1">
        <f t="shared" si="49"/>
        <v>0</v>
      </c>
      <c r="H300" s="5">
        <f t="shared" si="50"/>
        <v>0</v>
      </c>
      <c r="I300" s="64">
        <v>1</v>
      </c>
      <c r="J300" s="1">
        <f t="shared" si="51"/>
        <v>0</v>
      </c>
      <c r="K300" s="5">
        <f t="shared" si="52"/>
        <v>0</v>
      </c>
      <c r="L300" s="63">
        <v>1</v>
      </c>
      <c r="M300" s="1">
        <f t="shared" si="53"/>
        <v>0</v>
      </c>
      <c r="N300" s="52"/>
    </row>
    <row r="301" spans="1:14" ht="12">
      <c r="A301" s="72"/>
      <c r="B301" s="74" t="s">
        <v>222</v>
      </c>
      <c r="C301" s="3" t="s">
        <v>224</v>
      </c>
      <c r="D301" s="6"/>
      <c r="E301" s="5"/>
      <c r="F301" s="63">
        <v>1</v>
      </c>
      <c r="G301" s="1">
        <f t="shared" si="49"/>
        <v>0</v>
      </c>
      <c r="H301" s="5">
        <f t="shared" si="50"/>
        <v>0</v>
      </c>
      <c r="I301" s="64">
        <v>1</v>
      </c>
      <c r="J301" s="1">
        <f aca="true" t="shared" si="55" ref="J301:J320">ROUND(H301*I301,0)</f>
        <v>0</v>
      </c>
      <c r="K301" s="5">
        <f t="shared" si="52"/>
        <v>0</v>
      </c>
      <c r="L301" s="63">
        <v>1</v>
      </c>
      <c r="M301" s="1">
        <f t="shared" si="53"/>
        <v>0</v>
      </c>
      <c r="N301" s="52"/>
    </row>
    <row r="302" spans="1:14" ht="12">
      <c r="A302" s="72"/>
      <c r="B302" s="74" t="s">
        <v>223</v>
      </c>
      <c r="C302" s="3" t="s">
        <v>224</v>
      </c>
      <c r="D302" s="6"/>
      <c r="E302" s="5"/>
      <c r="F302" s="63">
        <v>1</v>
      </c>
      <c r="G302" s="1">
        <f t="shared" si="49"/>
        <v>0</v>
      </c>
      <c r="H302" s="5">
        <f t="shared" si="50"/>
        <v>0</v>
      </c>
      <c r="I302" s="64">
        <v>1</v>
      </c>
      <c r="J302" s="1">
        <f t="shared" si="55"/>
        <v>0</v>
      </c>
      <c r="K302" s="5">
        <f t="shared" si="52"/>
        <v>0</v>
      </c>
      <c r="L302" s="63">
        <v>1</v>
      </c>
      <c r="M302" s="1">
        <f t="shared" si="53"/>
        <v>0</v>
      </c>
      <c r="N302" s="52"/>
    </row>
    <row r="303" spans="1:14" ht="22.5">
      <c r="A303" s="72"/>
      <c r="B303" s="74" t="s">
        <v>221</v>
      </c>
      <c r="C303" s="3" t="s">
        <v>190</v>
      </c>
      <c r="D303" s="6"/>
      <c r="E303" s="5"/>
      <c r="F303" s="63">
        <v>1</v>
      </c>
      <c r="G303" s="1">
        <f t="shared" si="49"/>
        <v>0</v>
      </c>
      <c r="H303" s="5">
        <f t="shared" si="50"/>
        <v>0</v>
      </c>
      <c r="I303" s="64">
        <v>1</v>
      </c>
      <c r="J303" s="1">
        <f t="shared" si="55"/>
        <v>0</v>
      </c>
      <c r="K303" s="5">
        <f t="shared" si="52"/>
        <v>0</v>
      </c>
      <c r="L303" s="63">
        <v>1</v>
      </c>
      <c r="M303" s="1">
        <f t="shared" si="53"/>
        <v>0</v>
      </c>
      <c r="N303" s="52"/>
    </row>
    <row r="304" spans="1:14" ht="12">
      <c r="A304" s="72"/>
      <c r="B304" s="74" t="s">
        <v>218</v>
      </c>
      <c r="C304" s="3" t="s">
        <v>216</v>
      </c>
      <c r="D304" s="6"/>
      <c r="E304" s="5"/>
      <c r="F304" s="63">
        <v>1</v>
      </c>
      <c r="G304" s="1">
        <f t="shared" si="49"/>
        <v>0</v>
      </c>
      <c r="H304" s="5">
        <f t="shared" si="50"/>
        <v>0</v>
      </c>
      <c r="I304" s="64">
        <v>1</v>
      </c>
      <c r="J304" s="1">
        <f t="shared" si="55"/>
        <v>0</v>
      </c>
      <c r="K304" s="5">
        <f t="shared" si="52"/>
        <v>0</v>
      </c>
      <c r="L304" s="63">
        <v>1</v>
      </c>
      <c r="M304" s="1">
        <f t="shared" si="53"/>
        <v>0</v>
      </c>
      <c r="N304" s="52"/>
    </row>
    <row r="305" spans="1:14" ht="12">
      <c r="A305" s="73"/>
      <c r="B305" s="74" t="s">
        <v>219</v>
      </c>
      <c r="C305" s="3" t="s">
        <v>216</v>
      </c>
      <c r="D305" s="6"/>
      <c r="E305" s="5"/>
      <c r="F305" s="63">
        <v>1</v>
      </c>
      <c r="G305" s="1">
        <f t="shared" si="49"/>
        <v>0</v>
      </c>
      <c r="H305" s="5">
        <f t="shared" si="50"/>
        <v>0</v>
      </c>
      <c r="I305" s="64">
        <v>1</v>
      </c>
      <c r="J305" s="1">
        <f t="shared" si="55"/>
        <v>0</v>
      </c>
      <c r="K305" s="5">
        <f t="shared" si="52"/>
        <v>0</v>
      </c>
      <c r="L305" s="63">
        <v>1</v>
      </c>
      <c r="M305" s="1">
        <f t="shared" si="53"/>
        <v>0</v>
      </c>
      <c r="N305" s="52"/>
    </row>
    <row r="306" spans="1:14" ht="24">
      <c r="A306" s="50">
        <f>A294+1</f>
        <v>36</v>
      </c>
      <c r="B306" s="74" t="s">
        <v>220</v>
      </c>
      <c r="C306" s="3" t="s">
        <v>156</v>
      </c>
      <c r="D306" s="6"/>
      <c r="E306" s="5"/>
      <c r="F306" s="63">
        <v>1</v>
      </c>
      <c r="G306" s="1">
        <f t="shared" si="49"/>
        <v>0</v>
      </c>
      <c r="H306" s="5">
        <f t="shared" si="50"/>
        <v>0</v>
      </c>
      <c r="I306" s="64">
        <v>1</v>
      </c>
      <c r="J306" s="1">
        <f t="shared" si="55"/>
        <v>0</v>
      </c>
      <c r="K306" s="5">
        <f t="shared" si="52"/>
        <v>0</v>
      </c>
      <c r="L306" s="63">
        <v>1</v>
      </c>
      <c r="M306" s="1">
        <f t="shared" si="53"/>
        <v>0</v>
      </c>
      <c r="N306" s="52"/>
    </row>
    <row r="307" spans="1:14" ht="12">
      <c r="A307" s="50">
        <f>1+A306</f>
        <v>37</v>
      </c>
      <c r="B307" s="74" t="s">
        <v>225</v>
      </c>
      <c r="C307" s="3" t="s">
        <v>156</v>
      </c>
      <c r="D307" s="6"/>
      <c r="E307" s="5"/>
      <c r="F307" s="63">
        <v>1</v>
      </c>
      <c r="G307" s="1">
        <f t="shared" si="49"/>
        <v>0</v>
      </c>
      <c r="H307" s="5">
        <f t="shared" si="50"/>
        <v>0</v>
      </c>
      <c r="I307" s="64">
        <v>1</v>
      </c>
      <c r="J307" s="1">
        <f t="shared" si="55"/>
        <v>0</v>
      </c>
      <c r="K307" s="5">
        <f t="shared" si="52"/>
        <v>0</v>
      </c>
      <c r="L307" s="63">
        <v>1</v>
      </c>
      <c r="M307" s="1">
        <f t="shared" si="53"/>
        <v>0</v>
      </c>
      <c r="N307" s="52"/>
    </row>
    <row r="308" spans="1:14" ht="12">
      <c r="A308" s="71">
        <f>1+A307</f>
        <v>38</v>
      </c>
      <c r="B308" s="78" t="s">
        <v>226</v>
      </c>
      <c r="C308" s="38"/>
      <c r="D308" s="32"/>
      <c r="E308" s="5"/>
      <c r="F308" s="63">
        <v>1</v>
      </c>
      <c r="G308" s="1">
        <f t="shared" si="49"/>
        <v>0</v>
      </c>
      <c r="H308" s="5"/>
      <c r="I308" s="64"/>
      <c r="J308" s="1">
        <f t="shared" si="55"/>
        <v>0</v>
      </c>
      <c r="K308" s="5"/>
      <c r="L308" s="63"/>
      <c r="M308" s="1">
        <f t="shared" si="53"/>
        <v>0</v>
      </c>
      <c r="N308" s="55"/>
    </row>
    <row r="309" spans="1:14" ht="22.5">
      <c r="A309" s="72"/>
      <c r="B309" s="74" t="s">
        <v>227</v>
      </c>
      <c r="C309" s="3" t="s">
        <v>136</v>
      </c>
      <c r="D309" s="6"/>
      <c r="E309" s="5"/>
      <c r="F309" s="63">
        <v>1</v>
      </c>
      <c r="G309" s="1">
        <f t="shared" si="49"/>
        <v>0</v>
      </c>
      <c r="H309" s="5">
        <f t="shared" si="50"/>
        <v>0</v>
      </c>
      <c r="I309" s="64">
        <v>1</v>
      </c>
      <c r="J309" s="1">
        <f t="shared" si="55"/>
        <v>0</v>
      </c>
      <c r="K309" s="5">
        <f t="shared" si="52"/>
        <v>0</v>
      </c>
      <c r="L309" s="63">
        <v>1</v>
      </c>
      <c r="M309" s="1">
        <f t="shared" si="53"/>
        <v>0</v>
      </c>
      <c r="N309" s="52"/>
    </row>
    <row r="310" spans="1:14" ht="22.5">
      <c r="A310" s="73"/>
      <c r="B310" s="74" t="s">
        <v>228</v>
      </c>
      <c r="C310" s="3" t="s">
        <v>136</v>
      </c>
      <c r="D310" s="6"/>
      <c r="E310" s="5"/>
      <c r="F310" s="63">
        <v>1</v>
      </c>
      <c r="G310" s="1">
        <f t="shared" si="49"/>
        <v>0</v>
      </c>
      <c r="H310" s="5">
        <f t="shared" si="50"/>
        <v>0</v>
      </c>
      <c r="I310" s="64">
        <v>1</v>
      </c>
      <c r="J310" s="1">
        <f t="shared" si="55"/>
        <v>0</v>
      </c>
      <c r="K310" s="5">
        <f t="shared" si="52"/>
        <v>0</v>
      </c>
      <c r="L310" s="63">
        <v>1</v>
      </c>
      <c r="M310" s="1">
        <f t="shared" si="53"/>
        <v>0</v>
      </c>
      <c r="N310" s="52"/>
    </row>
    <row r="311" spans="1:14" ht="12">
      <c r="A311" s="71">
        <f>1+A308</f>
        <v>39</v>
      </c>
      <c r="B311" s="78" t="s">
        <v>232</v>
      </c>
      <c r="C311" s="41"/>
      <c r="D311" s="42"/>
      <c r="E311" s="5"/>
      <c r="F311" s="63">
        <v>1</v>
      </c>
      <c r="G311" s="1">
        <f t="shared" si="49"/>
        <v>0</v>
      </c>
      <c r="H311" s="5"/>
      <c r="I311" s="64"/>
      <c r="J311" s="1">
        <f t="shared" si="55"/>
        <v>0</v>
      </c>
      <c r="K311" s="5"/>
      <c r="L311" s="63"/>
      <c r="M311" s="1">
        <f t="shared" si="53"/>
        <v>0</v>
      </c>
      <c r="N311" s="59"/>
    </row>
    <row r="312" spans="1:14" ht="12">
      <c r="A312" s="72"/>
      <c r="B312" s="74" t="s">
        <v>233</v>
      </c>
      <c r="C312" s="3" t="s">
        <v>234</v>
      </c>
      <c r="D312" s="6"/>
      <c r="E312" s="5"/>
      <c r="F312" s="63">
        <v>1</v>
      </c>
      <c r="G312" s="1">
        <f t="shared" si="49"/>
        <v>0</v>
      </c>
      <c r="H312" s="5">
        <f t="shared" si="50"/>
        <v>0</v>
      </c>
      <c r="I312" s="64">
        <v>1</v>
      </c>
      <c r="J312" s="1">
        <f t="shared" si="55"/>
        <v>0</v>
      </c>
      <c r="K312" s="5">
        <f t="shared" si="52"/>
        <v>0</v>
      </c>
      <c r="L312" s="63">
        <v>1</v>
      </c>
      <c r="M312" s="1">
        <f t="shared" si="53"/>
        <v>0</v>
      </c>
      <c r="N312" s="52"/>
    </row>
    <row r="313" spans="1:14" ht="22.5">
      <c r="A313" s="73"/>
      <c r="B313" s="74" t="s">
        <v>235</v>
      </c>
      <c r="C313" s="3" t="s">
        <v>236</v>
      </c>
      <c r="D313" s="6"/>
      <c r="E313" s="5"/>
      <c r="F313" s="63">
        <v>1</v>
      </c>
      <c r="G313" s="1">
        <f t="shared" si="49"/>
        <v>0</v>
      </c>
      <c r="H313" s="5">
        <f t="shared" si="50"/>
        <v>0</v>
      </c>
      <c r="I313" s="64">
        <v>1</v>
      </c>
      <c r="J313" s="1">
        <f t="shared" si="55"/>
        <v>0</v>
      </c>
      <c r="K313" s="5">
        <f t="shared" si="52"/>
        <v>0</v>
      </c>
      <c r="L313" s="63">
        <v>1</v>
      </c>
      <c r="M313" s="1">
        <f t="shared" si="53"/>
        <v>0</v>
      </c>
      <c r="N313" s="52"/>
    </row>
    <row r="314" spans="1:14" ht="12" customHeight="1">
      <c r="A314" s="50">
        <f>1+A311</f>
        <v>40</v>
      </c>
      <c r="B314" s="74" t="s">
        <v>321</v>
      </c>
      <c r="C314" s="3" t="s">
        <v>136</v>
      </c>
      <c r="D314" s="6"/>
      <c r="E314" s="5"/>
      <c r="F314" s="63">
        <v>1</v>
      </c>
      <c r="G314" s="1">
        <f t="shared" si="49"/>
        <v>0</v>
      </c>
      <c r="H314" s="5">
        <f t="shared" si="50"/>
        <v>0</v>
      </c>
      <c r="I314" s="64">
        <v>1</v>
      </c>
      <c r="J314" s="1">
        <f t="shared" si="55"/>
        <v>0</v>
      </c>
      <c r="K314" s="5">
        <f t="shared" si="52"/>
        <v>0</v>
      </c>
      <c r="L314" s="63">
        <v>1</v>
      </c>
      <c r="M314" s="1">
        <f t="shared" si="53"/>
        <v>0</v>
      </c>
      <c r="N314" s="52"/>
    </row>
    <row r="315" spans="1:14" ht="12">
      <c r="A315" s="50">
        <f>1+A314</f>
        <v>41</v>
      </c>
      <c r="B315" s="74" t="s">
        <v>378</v>
      </c>
      <c r="C315" s="3" t="s">
        <v>156</v>
      </c>
      <c r="D315" s="6"/>
      <c r="E315" s="5"/>
      <c r="F315" s="63">
        <v>1</v>
      </c>
      <c r="G315" s="1">
        <f t="shared" si="49"/>
        <v>0</v>
      </c>
      <c r="H315" s="5">
        <f t="shared" si="50"/>
        <v>0</v>
      </c>
      <c r="I315" s="64">
        <v>1</v>
      </c>
      <c r="J315" s="1">
        <f t="shared" si="55"/>
        <v>0</v>
      </c>
      <c r="K315" s="5">
        <f t="shared" si="52"/>
        <v>0</v>
      </c>
      <c r="L315" s="63">
        <v>1</v>
      </c>
      <c r="M315" s="1">
        <f t="shared" si="53"/>
        <v>0</v>
      </c>
      <c r="N315" s="52"/>
    </row>
    <row r="316" spans="1:14" ht="24.75" customHeight="1">
      <c r="A316" s="50">
        <f>1+A315</f>
        <v>42</v>
      </c>
      <c r="B316" s="74" t="s">
        <v>507</v>
      </c>
      <c r="C316" s="3" t="s">
        <v>136</v>
      </c>
      <c r="D316" s="6"/>
      <c r="E316" s="5"/>
      <c r="F316" s="63">
        <v>1</v>
      </c>
      <c r="G316" s="1">
        <f t="shared" si="49"/>
        <v>0</v>
      </c>
      <c r="H316" s="5">
        <f t="shared" si="50"/>
        <v>0</v>
      </c>
      <c r="I316" s="64">
        <v>1</v>
      </c>
      <c r="J316" s="1">
        <f t="shared" si="55"/>
        <v>0</v>
      </c>
      <c r="K316" s="5">
        <f t="shared" si="52"/>
        <v>0</v>
      </c>
      <c r="L316" s="63">
        <v>1</v>
      </c>
      <c r="M316" s="1">
        <f t="shared" si="53"/>
        <v>0</v>
      </c>
      <c r="N316" s="52"/>
    </row>
    <row r="317" spans="1:14" ht="12">
      <c r="A317" s="50">
        <f>1+A316</f>
        <v>43</v>
      </c>
      <c r="B317" s="74" t="s">
        <v>314</v>
      </c>
      <c r="C317" s="3" t="s">
        <v>156</v>
      </c>
      <c r="D317" s="6"/>
      <c r="E317" s="5"/>
      <c r="F317" s="63">
        <v>1</v>
      </c>
      <c r="G317" s="1">
        <f t="shared" si="49"/>
        <v>0</v>
      </c>
      <c r="H317" s="5">
        <f t="shared" si="50"/>
        <v>0</v>
      </c>
      <c r="I317" s="64">
        <v>1</v>
      </c>
      <c r="J317" s="1">
        <f t="shared" si="55"/>
        <v>0</v>
      </c>
      <c r="K317" s="5">
        <f t="shared" si="52"/>
        <v>0</v>
      </c>
      <c r="L317" s="63">
        <v>1</v>
      </c>
      <c r="M317" s="1">
        <f t="shared" si="53"/>
        <v>0</v>
      </c>
      <c r="N317" s="52"/>
    </row>
    <row r="318" spans="1:14" ht="12" customHeight="1">
      <c r="A318" s="50">
        <f>A317+1</f>
        <v>44</v>
      </c>
      <c r="B318" s="74" t="s">
        <v>479</v>
      </c>
      <c r="C318" s="3" t="s">
        <v>136</v>
      </c>
      <c r="D318" s="6"/>
      <c r="E318" s="5"/>
      <c r="F318" s="63">
        <v>1</v>
      </c>
      <c r="G318" s="1">
        <f t="shared" si="49"/>
        <v>0</v>
      </c>
      <c r="H318" s="5">
        <f t="shared" si="50"/>
        <v>0</v>
      </c>
      <c r="I318" s="64">
        <v>1</v>
      </c>
      <c r="J318" s="1">
        <f t="shared" si="55"/>
        <v>0</v>
      </c>
      <c r="K318" s="5">
        <f t="shared" si="52"/>
        <v>0</v>
      </c>
      <c r="L318" s="63">
        <v>1</v>
      </c>
      <c r="M318" s="1">
        <f t="shared" si="53"/>
        <v>0</v>
      </c>
      <c r="N318" s="52"/>
    </row>
    <row r="319" spans="1:14" ht="12" customHeight="1">
      <c r="A319" s="50">
        <f>1+A318</f>
        <v>45</v>
      </c>
      <c r="B319" s="74" t="s">
        <v>379</v>
      </c>
      <c r="C319" s="3" t="s">
        <v>136</v>
      </c>
      <c r="D319" s="6"/>
      <c r="E319" s="5"/>
      <c r="F319" s="63">
        <v>1</v>
      </c>
      <c r="G319" s="1">
        <f t="shared" si="49"/>
        <v>0</v>
      </c>
      <c r="H319" s="5">
        <f t="shared" si="50"/>
        <v>0</v>
      </c>
      <c r="I319" s="64">
        <v>1</v>
      </c>
      <c r="J319" s="1">
        <f t="shared" si="55"/>
        <v>0</v>
      </c>
      <c r="K319" s="5">
        <f t="shared" si="52"/>
        <v>0</v>
      </c>
      <c r="L319" s="63">
        <v>1</v>
      </c>
      <c r="M319" s="1">
        <f t="shared" si="53"/>
        <v>0</v>
      </c>
      <c r="N319" s="52"/>
    </row>
    <row r="320" spans="1:14" ht="45">
      <c r="A320" s="50">
        <f>1+A319</f>
        <v>46</v>
      </c>
      <c r="B320" s="81" t="s">
        <v>248</v>
      </c>
      <c r="C320" s="2" t="s">
        <v>290</v>
      </c>
      <c r="D320" s="27"/>
      <c r="E320" s="5"/>
      <c r="F320" s="63">
        <v>1</v>
      </c>
      <c r="G320" s="1">
        <f t="shared" si="49"/>
        <v>0</v>
      </c>
      <c r="H320" s="5">
        <f t="shared" si="50"/>
        <v>0</v>
      </c>
      <c r="I320" s="64">
        <v>1</v>
      </c>
      <c r="J320" s="1">
        <f t="shared" si="55"/>
        <v>0</v>
      </c>
      <c r="K320" s="5">
        <f t="shared" si="52"/>
        <v>0</v>
      </c>
      <c r="L320" s="63">
        <v>1</v>
      </c>
      <c r="M320" s="1">
        <f t="shared" si="53"/>
        <v>0</v>
      </c>
      <c r="N320" s="54"/>
    </row>
    <row r="321" spans="1:36" s="10" customFormat="1" ht="12.75" thickBot="1">
      <c r="A321" s="152"/>
      <c r="B321" s="135" t="s">
        <v>257</v>
      </c>
      <c r="C321" s="153"/>
      <c r="D321" s="154">
        <f>ROUNDDOWN(SUM(D228:D320),2)</f>
        <v>3953468</v>
      </c>
      <c r="E321" s="154">
        <f>ROUNDDOWN(SUM(E228:E320),2)</f>
        <v>3953464</v>
      </c>
      <c r="F321" s="154"/>
      <c r="G321" s="154">
        <f>ROUNDDOWN(SUM(G228:G320),0)</f>
        <v>3953464</v>
      </c>
      <c r="H321" s="154">
        <f>ROUNDDOWN(SUM(H228:H320),2)</f>
        <v>3953464</v>
      </c>
      <c r="I321" s="154"/>
      <c r="J321" s="154">
        <f>ROUNDDOWN(SUM(J228:J320),0)</f>
        <v>3953464</v>
      </c>
      <c r="K321" s="154">
        <f>ROUNDDOWN(SUM(K228:K320),2)</f>
        <v>3953464</v>
      </c>
      <c r="L321" s="154"/>
      <c r="M321" s="154">
        <f>ROUNDDOWN(SUM(M228:M320),0)</f>
        <v>3953464</v>
      </c>
      <c r="N321" s="60"/>
      <c r="S321" s="127"/>
      <c r="T321" s="127"/>
      <c r="U321" s="127"/>
      <c r="V321" s="127"/>
      <c r="W321" s="127"/>
      <c r="X321" s="127"/>
      <c r="Y321" s="127"/>
      <c r="Z321" s="127"/>
      <c r="AA321" s="127"/>
      <c r="AB321" s="127"/>
      <c r="AC321" s="127"/>
      <c r="AD321" s="127"/>
      <c r="AE321" s="127"/>
      <c r="AF321" s="127"/>
      <c r="AG321" s="127"/>
      <c r="AH321" s="127"/>
      <c r="AI321" s="127"/>
      <c r="AJ321" s="127"/>
    </row>
    <row r="322" spans="1:36" s="10" customFormat="1" ht="12.75">
      <c r="A322" s="837" t="s">
        <v>428</v>
      </c>
      <c r="B322" s="849"/>
      <c r="C322" s="190"/>
      <c r="D322" s="192">
        <f>D321+D220+D142+D81+D75+D67+D56+D226</f>
        <v>6943644</v>
      </c>
      <c r="E322" s="192">
        <f>E321+E220+E142+E81+E75+E67+E56+E226</f>
        <v>6943640</v>
      </c>
      <c r="F322" s="191"/>
      <c r="G322" s="192">
        <f>G321+G220+G142+G81+G75+G67+G56+G226</f>
        <v>6943640</v>
      </c>
      <c r="H322" s="192">
        <f>H321++H220+H142+H81+H75+H67+H56+H226</f>
        <v>6943640</v>
      </c>
      <c r="I322" s="191"/>
      <c r="J322" s="192">
        <f>J321+J220+J142+J81+J75+J67+J56+J226</f>
        <v>6943640</v>
      </c>
      <c r="K322" s="192">
        <f>K321+K220+K142+K81+K75+K67+K56+K226</f>
        <v>6943640</v>
      </c>
      <c r="L322" s="191"/>
      <c r="M322" s="192">
        <f>M321+M220+M142+M81+M75+M67+M56+M226</f>
        <v>6943640</v>
      </c>
      <c r="N322" s="193"/>
      <c r="S322" s="127"/>
      <c r="T322" s="127"/>
      <c r="U322" s="127"/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  <c r="AF322" s="127"/>
      <c r="AG322" s="127"/>
      <c r="AH322" s="127"/>
      <c r="AI322" s="127"/>
      <c r="AJ322" s="127"/>
    </row>
    <row r="323" spans="1:36" s="10" customFormat="1" ht="12.75">
      <c r="A323" s="839" t="s">
        <v>429</v>
      </c>
      <c r="B323" s="840"/>
      <c r="C323" s="202"/>
      <c r="D323" s="203"/>
      <c r="E323" s="204"/>
      <c r="F323" s="205"/>
      <c r="G323" s="206"/>
      <c r="H323" s="204"/>
      <c r="I323" s="205"/>
      <c r="J323" s="206"/>
      <c r="K323" s="204"/>
      <c r="L323" s="205"/>
      <c r="M323" s="206"/>
      <c r="N323" s="20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27"/>
      <c r="AC323" s="127"/>
      <c r="AD323" s="127"/>
      <c r="AE323" s="127"/>
      <c r="AF323" s="127"/>
      <c r="AG323" s="127"/>
      <c r="AH323" s="127"/>
      <c r="AI323" s="127"/>
      <c r="AJ323" s="127"/>
    </row>
    <row r="324" spans="1:14" ht="12.75" thickBot="1">
      <c r="A324" s="144" t="s">
        <v>129</v>
      </c>
      <c r="B324" s="145"/>
      <c r="C324" s="244"/>
      <c r="D324" s="147"/>
      <c r="E324" s="148"/>
      <c r="F324" s="149"/>
      <c r="G324" s="150"/>
      <c r="H324" s="148"/>
      <c r="I324" s="149"/>
      <c r="J324" s="150"/>
      <c r="K324" s="148"/>
      <c r="L324" s="149"/>
      <c r="M324" s="150"/>
      <c r="N324" s="151"/>
    </row>
    <row r="325" spans="1:36" s="97" customFormat="1" ht="75.75" customHeight="1" thickBot="1">
      <c r="A325" s="270">
        <v>1</v>
      </c>
      <c r="B325" s="271" t="s">
        <v>472</v>
      </c>
      <c r="C325" s="264" t="s">
        <v>156</v>
      </c>
      <c r="D325" s="272"/>
      <c r="E325" s="273"/>
      <c r="F325" s="274">
        <v>1</v>
      </c>
      <c r="G325" s="275">
        <f>ROUND(E325*F325,0)</f>
        <v>0</v>
      </c>
      <c r="H325" s="273">
        <f>G325</f>
        <v>0</v>
      </c>
      <c r="I325" s="276">
        <v>1</v>
      </c>
      <c r="J325" s="275">
        <f>ROUND(H325*I325,0)</f>
        <v>0</v>
      </c>
      <c r="K325" s="273">
        <f>J325</f>
        <v>0</v>
      </c>
      <c r="L325" s="274">
        <v>1</v>
      </c>
      <c r="M325" s="275">
        <f>ROUND(K325*L325,0)</f>
        <v>0</v>
      </c>
      <c r="N325" s="277"/>
      <c r="O325" s="12"/>
      <c r="P325" s="12"/>
      <c r="Q325" s="12"/>
      <c r="R325" s="1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128"/>
      <c r="AE325" s="128"/>
      <c r="AF325" s="128"/>
      <c r="AG325" s="128"/>
      <c r="AH325" s="128"/>
      <c r="AI325" s="128"/>
      <c r="AJ325" s="128"/>
    </row>
    <row r="326" spans="1:36" s="97" customFormat="1" ht="18" customHeight="1">
      <c r="A326" s="854" t="s">
        <v>430</v>
      </c>
      <c r="B326" s="855"/>
      <c r="C326" s="160"/>
      <c r="D326" s="161">
        <f>D325</f>
        <v>0</v>
      </c>
      <c r="E326" s="161">
        <f aca="true" t="shared" si="56" ref="E326:M326">E325</f>
        <v>0</v>
      </c>
      <c r="F326" s="161"/>
      <c r="G326" s="161">
        <f t="shared" si="56"/>
        <v>0</v>
      </c>
      <c r="H326" s="161">
        <f t="shared" si="56"/>
        <v>0</v>
      </c>
      <c r="I326" s="161"/>
      <c r="J326" s="161">
        <f t="shared" si="56"/>
        <v>0</v>
      </c>
      <c r="K326" s="161">
        <f t="shared" si="56"/>
        <v>0</v>
      </c>
      <c r="L326" s="161"/>
      <c r="M326" s="161">
        <f t="shared" si="56"/>
        <v>0</v>
      </c>
      <c r="N326" s="159"/>
      <c r="O326" s="12"/>
      <c r="P326" s="12"/>
      <c r="Q326" s="12"/>
      <c r="R326" s="1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128"/>
      <c r="AE326" s="128"/>
      <c r="AF326" s="128"/>
      <c r="AG326" s="128"/>
      <c r="AH326" s="128"/>
      <c r="AI326" s="128"/>
      <c r="AJ326" s="128"/>
    </row>
    <row r="327" spans="1:36" s="97" customFormat="1" ht="13.5" customHeight="1">
      <c r="A327" s="839" t="s">
        <v>431</v>
      </c>
      <c r="B327" s="840"/>
      <c r="C327" s="208"/>
      <c r="D327" s="209"/>
      <c r="E327" s="210"/>
      <c r="F327" s="211"/>
      <c r="G327" s="206"/>
      <c r="H327" s="210"/>
      <c r="I327" s="211"/>
      <c r="J327" s="206"/>
      <c r="K327" s="210"/>
      <c r="L327" s="211"/>
      <c r="M327" s="206"/>
      <c r="N327" s="212"/>
      <c r="O327" s="12"/>
      <c r="P327" s="12"/>
      <c r="Q327" s="12"/>
      <c r="R327" s="1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128"/>
      <c r="AE327" s="128"/>
      <c r="AF327" s="128"/>
      <c r="AG327" s="128"/>
      <c r="AH327" s="128"/>
      <c r="AI327" s="128"/>
      <c r="AJ327" s="128"/>
    </row>
    <row r="328" spans="1:14" ht="12">
      <c r="A328" s="84" t="s">
        <v>139</v>
      </c>
      <c r="B328" s="85"/>
      <c r="C328" s="99"/>
      <c r="D328" s="87"/>
      <c r="E328" s="88"/>
      <c r="F328" s="89"/>
      <c r="G328" s="90"/>
      <c r="H328" s="88"/>
      <c r="I328" s="89"/>
      <c r="J328" s="90"/>
      <c r="K328" s="88"/>
      <c r="L328" s="89"/>
      <c r="M328" s="90"/>
      <c r="N328" s="91"/>
    </row>
    <row r="329" spans="1:14" ht="22.5">
      <c r="A329" s="73">
        <v>1</v>
      </c>
      <c r="B329" s="196" t="s">
        <v>377</v>
      </c>
      <c r="C329" s="162" t="s">
        <v>500</v>
      </c>
      <c r="D329" s="163"/>
      <c r="E329" s="164"/>
      <c r="F329" s="165">
        <v>1</v>
      </c>
      <c r="G329" s="142">
        <f>ROUND(E329*F329,0)</f>
        <v>0</v>
      </c>
      <c r="H329" s="164">
        <f>G329</f>
        <v>0</v>
      </c>
      <c r="I329" s="141">
        <v>1</v>
      </c>
      <c r="J329" s="142">
        <f>ROUND(H329*I329,0)</f>
        <v>0</v>
      </c>
      <c r="K329" s="164">
        <f>J329</f>
        <v>0</v>
      </c>
      <c r="L329" s="165">
        <v>1</v>
      </c>
      <c r="M329" s="142">
        <f>ROUND(K329*L329,0)</f>
        <v>0</v>
      </c>
      <c r="N329" s="166"/>
    </row>
    <row r="330" spans="1:14" ht="12.75" thickBot="1">
      <c r="A330" s="50"/>
      <c r="B330" s="135" t="s">
        <v>152</v>
      </c>
      <c r="C330" s="2"/>
      <c r="D330" s="171">
        <f>D329</f>
        <v>0</v>
      </c>
      <c r="E330" s="171">
        <f aca="true" t="shared" si="57" ref="E330:M330">E329</f>
        <v>0</v>
      </c>
      <c r="F330" s="171"/>
      <c r="G330" s="171">
        <f t="shared" si="57"/>
        <v>0</v>
      </c>
      <c r="H330" s="171">
        <f t="shared" si="57"/>
        <v>0</v>
      </c>
      <c r="I330" s="171"/>
      <c r="J330" s="171">
        <f t="shared" si="57"/>
        <v>0</v>
      </c>
      <c r="K330" s="171">
        <f t="shared" si="57"/>
        <v>0</v>
      </c>
      <c r="L330" s="171"/>
      <c r="M330" s="171">
        <f t="shared" si="57"/>
        <v>0</v>
      </c>
      <c r="N330" s="53"/>
    </row>
    <row r="331" spans="1:14" ht="12.75">
      <c r="A331" s="837" t="s">
        <v>433</v>
      </c>
      <c r="B331" s="838"/>
      <c r="C331" s="195"/>
      <c r="D331" s="194">
        <f>ROUNDDOWN(D330,2)</f>
        <v>0</v>
      </c>
      <c r="E331" s="194">
        <f aca="true" t="shared" si="58" ref="E331:K331">ROUNDDOWN(E330,2)</f>
        <v>0</v>
      </c>
      <c r="F331" s="194"/>
      <c r="G331" s="194">
        <f>ROUNDDOWN(G330,0)</f>
        <v>0</v>
      </c>
      <c r="H331" s="194">
        <f t="shared" si="58"/>
        <v>0</v>
      </c>
      <c r="I331" s="194"/>
      <c r="J331" s="194">
        <f>ROUNDDOWN(J330,0)</f>
        <v>0</v>
      </c>
      <c r="K331" s="194">
        <f t="shared" si="58"/>
        <v>0</v>
      </c>
      <c r="L331" s="194"/>
      <c r="M331" s="194">
        <f>ROUNDDOWN(M330,0)</f>
        <v>0</v>
      </c>
      <c r="N331" s="193"/>
    </row>
    <row r="332" spans="1:14" ht="12.75">
      <c r="A332" s="839" t="s">
        <v>434</v>
      </c>
      <c r="B332" s="840"/>
      <c r="C332" s="213"/>
      <c r="D332" s="203"/>
      <c r="E332" s="214"/>
      <c r="F332" s="215"/>
      <c r="G332" s="216"/>
      <c r="H332" s="214"/>
      <c r="I332" s="215"/>
      <c r="J332" s="216"/>
      <c r="K332" s="214"/>
      <c r="L332" s="215"/>
      <c r="M332" s="216"/>
      <c r="N332" s="207"/>
    </row>
    <row r="333" spans="1:14" ht="12">
      <c r="A333" s="84" t="s">
        <v>139</v>
      </c>
      <c r="B333" s="85"/>
      <c r="C333" s="99"/>
      <c r="D333" s="87"/>
      <c r="E333" s="88"/>
      <c r="F333" s="89"/>
      <c r="G333" s="90"/>
      <c r="H333" s="88"/>
      <c r="I333" s="89"/>
      <c r="J333" s="90"/>
      <c r="K333" s="88"/>
      <c r="L333" s="89"/>
      <c r="M333" s="90"/>
      <c r="N333" s="91"/>
    </row>
    <row r="334" spans="1:14" ht="36">
      <c r="A334" s="50">
        <v>1</v>
      </c>
      <c r="B334" s="74" t="s">
        <v>245</v>
      </c>
      <c r="C334" s="3" t="s">
        <v>138</v>
      </c>
      <c r="D334" s="6"/>
      <c r="E334" s="5"/>
      <c r="F334" s="63">
        <v>1</v>
      </c>
      <c r="G334" s="142">
        <f aca="true" t="shared" si="59" ref="G334:G343">ROUND(E334*F334,0)</f>
        <v>0</v>
      </c>
      <c r="H334" s="5">
        <f aca="true" t="shared" si="60" ref="H334:H343">G334</f>
        <v>0</v>
      </c>
      <c r="I334" s="64">
        <v>1</v>
      </c>
      <c r="J334" s="142">
        <f aca="true" t="shared" si="61" ref="J334:J343">ROUND(H334*I334,0)</f>
        <v>0</v>
      </c>
      <c r="K334" s="5">
        <f aca="true" t="shared" si="62" ref="K334:K343">J334</f>
        <v>0</v>
      </c>
      <c r="L334" s="63">
        <v>1</v>
      </c>
      <c r="M334" s="142">
        <f aca="true" t="shared" si="63" ref="M334:M343">ROUND(K334*L334,0)</f>
        <v>0</v>
      </c>
      <c r="N334" s="52" t="s">
        <v>508</v>
      </c>
    </row>
    <row r="335" spans="1:14" ht="24">
      <c r="A335" s="50">
        <f aca="true" t="shared" si="64" ref="A335:A342">1+A334</f>
        <v>2</v>
      </c>
      <c r="B335" s="74" t="s">
        <v>246</v>
      </c>
      <c r="C335" s="3" t="s">
        <v>138</v>
      </c>
      <c r="D335" s="6"/>
      <c r="E335" s="5"/>
      <c r="F335" s="63">
        <v>1</v>
      </c>
      <c r="G335" s="142">
        <f t="shared" si="59"/>
        <v>0</v>
      </c>
      <c r="H335" s="5">
        <f t="shared" si="60"/>
        <v>0</v>
      </c>
      <c r="I335" s="64">
        <v>1</v>
      </c>
      <c r="J335" s="142">
        <f t="shared" si="61"/>
        <v>0</v>
      </c>
      <c r="K335" s="5">
        <f t="shared" si="62"/>
        <v>0</v>
      </c>
      <c r="L335" s="63">
        <v>1</v>
      </c>
      <c r="M335" s="142">
        <f t="shared" si="63"/>
        <v>0</v>
      </c>
      <c r="N335" s="52" t="s">
        <v>488</v>
      </c>
    </row>
    <row r="336" spans="1:14" ht="36">
      <c r="A336" s="50">
        <f t="shared" si="64"/>
        <v>3</v>
      </c>
      <c r="B336" s="74" t="s">
        <v>247</v>
      </c>
      <c r="C336" s="3" t="s">
        <v>138</v>
      </c>
      <c r="D336" s="6"/>
      <c r="E336" s="5"/>
      <c r="F336" s="63">
        <v>1</v>
      </c>
      <c r="G336" s="142">
        <f t="shared" si="59"/>
        <v>0</v>
      </c>
      <c r="H336" s="5">
        <f t="shared" si="60"/>
        <v>0</v>
      </c>
      <c r="I336" s="64">
        <v>1</v>
      </c>
      <c r="J336" s="142">
        <f t="shared" si="61"/>
        <v>0</v>
      </c>
      <c r="K336" s="5">
        <f t="shared" si="62"/>
        <v>0</v>
      </c>
      <c r="L336" s="63">
        <v>1</v>
      </c>
      <c r="M336" s="142">
        <f t="shared" si="63"/>
        <v>0</v>
      </c>
      <c r="N336" s="52" t="s">
        <v>488</v>
      </c>
    </row>
    <row r="337" spans="1:14" ht="24">
      <c r="A337" s="50">
        <f t="shared" si="64"/>
        <v>4</v>
      </c>
      <c r="B337" s="74" t="s">
        <v>249</v>
      </c>
      <c r="C337" s="3" t="s">
        <v>387</v>
      </c>
      <c r="D337" s="6"/>
      <c r="E337" s="5"/>
      <c r="F337" s="63">
        <v>1</v>
      </c>
      <c r="G337" s="142">
        <f t="shared" si="59"/>
        <v>0</v>
      </c>
      <c r="H337" s="5">
        <f t="shared" si="60"/>
        <v>0</v>
      </c>
      <c r="I337" s="64">
        <v>1</v>
      </c>
      <c r="J337" s="142">
        <f t="shared" si="61"/>
        <v>0</v>
      </c>
      <c r="K337" s="5">
        <f t="shared" si="62"/>
        <v>0</v>
      </c>
      <c r="L337" s="63">
        <v>1</v>
      </c>
      <c r="M337" s="142">
        <f t="shared" si="63"/>
        <v>0</v>
      </c>
      <c r="N337" s="52" t="s">
        <v>488</v>
      </c>
    </row>
    <row r="338" spans="1:14" ht="24">
      <c r="A338" s="50">
        <f t="shared" si="64"/>
        <v>5</v>
      </c>
      <c r="B338" s="74" t="s">
        <v>250</v>
      </c>
      <c r="C338" s="3" t="s">
        <v>382</v>
      </c>
      <c r="D338" s="6"/>
      <c r="E338" s="5"/>
      <c r="F338" s="63">
        <v>1</v>
      </c>
      <c r="G338" s="142">
        <f t="shared" si="59"/>
        <v>0</v>
      </c>
      <c r="H338" s="5">
        <f t="shared" si="60"/>
        <v>0</v>
      </c>
      <c r="I338" s="64">
        <v>1</v>
      </c>
      <c r="J338" s="142">
        <f t="shared" si="61"/>
        <v>0</v>
      </c>
      <c r="K338" s="5">
        <f t="shared" si="62"/>
        <v>0</v>
      </c>
      <c r="L338" s="63">
        <v>1</v>
      </c>
      <c r="M338" s="142">
        <f t="shared" si="63"/>
        <v>0</v>
      </c>
      <c r="N338" s="52" t="s">
        <v>488</v>
      </c>
    </row>
    <row r="339" spans="1:14" ht="22.5">
      <c r="A339" s="50">
        <f t="shared" si="64"/>
        <v>6</v>
      </c>
      <c r="B339" s="74" t="s">
        <v>251</v>
      </c>
      <c r="C339" s="3" t="s">
        <v>387</v>
      </c>
      <c r="D339" s="6"/>
      <c r="E339" s="5"/>
      <c r="F339" s="63">
        <v>1</v>
      </c>
      <c r="G339" s="142">
        <f t="shared" si="59"/>
        <v>0</v>
      </c>
      <c r="H339" s="5">
        <f t="shared" si="60"/>
        <v>0</v>
      </c>
      <c r="I339" s="64">
        <v>1</v>
      </c>
      <c r="J339" s="142">
        <f t="shared" si="61"/>
        <v>0</v>
      </c>
      <c r="K339" s="5">
        <f t="shared" si="62"/>
        <v>0</v>
      </c>
      <c r="L339" s="63">
        <v>1</v>
      </c>
      <c r="M339" s="142">
        <f t="shared" si="63"/>
        <v>0</v>
      </c>
      <c r="N339" s="52" t="s">
        <v>488</v>
      </c>
    </row>
    <row r="340" spans="1:14" ht="24">
      <c r="A340" s="50">
        <f t="shared" si="64"/>
        <v>7</v>
      </c>
      <c r="B340" s="74" t="s">
        <v>386</v>
      </c>
      <c r="C340" s="3" t="s">
        <v>387</v>
      </c>
      <c r="D340" s="6"/>
      <c r="E340" s="5"/>
      <c r="F340" s="63">
        <v>1</v>
      </c>
      <c r="G340" s="142">
        <f t="shared" si="59"/>
        <v>0</v>
      </c>
      <c r="H340" s="5">
        <f t="shared" si="60"/>
        <v>0</v>
      </c>
      <c r="I340" s="64">
        <v>1</v>
      </c>
      <c r="J340" s="142">
        <f t="shared" si="61"/>
        <v>0</v>
      </c>
      <c r="K340" s="5">
        <f t="shared" si="62"/>
        <v>0</v>
      </c>
      <c r="L340" s="63">
        <v>1</v>
      </c>
      <c r="M340" s="142">
        <f t="shared" si="63"/>
        <v>0</v>
      </c>
      <c r="N340" s="52" t="s">
        <v>488</v>
      </c>
    </row>
    <row r="341" spans="1:14" ht="24">
      <c r="A341" s="50">
        <f t="shared" si="64"/>
        <v>8</v>
      </c>
      <c r="B341" s="74" t="s">
        <v>252</v>
      </c>
      <c r="C341" s="3" t="s">
        <v>387</v>
      </c>
      <c r="D341" s="6"/>
      <c r="E341" s="5"/>
      <c r="F341" s="63">
        <v>1</v>
      </c>
      <c r="G341" s="142">
        <f t="shared" si="59"/>
        <v>0</v>
      </c>
      <c r="H341" s="5">
        <f t="shared" si="60"/>
        <v>0</v>
      </c>
      <c r="I341" s="64">
        <v>1</v>
      </c>
      <c r="J341" s="142">
        <f t="shared" si="61"/>
        <v>0</v>
      </c>
      <c r="K341" s="5">
        <f t="shared" si="62"/>
        <v>0</v>
      </c>
      <c r="L341" s="63">
        <v>1</v>
      </c>
      <c r="M341" s="142">
        <f t="shared" si="63"/>
        <v>0</v>
      </c>
      <c r="N341" s="52" t="s">
        <v>488</v>
      </c>
    </row>
    <row r="342" spans="1:14" ht="22.5">
      <c r="A342" s="50">
        <f t="shared" si="64"/>
        <v>9</v>
      </c>
      <c r="B342" s="74" t="s">
        <v>385</v>
      </c>
      <c r="C342" s="3" t="s">
        <v>387</v>
      </c>
      <c r="D342" s="6">
        <v>1750</v>
      </c>
      <c r="E342" s="5">
        <v>1750</v>
      </c>
      <c r="F342" s="63">
        <v>1</v>
      </c>
      <c r="G342" s="142">
        <f t="shared" si="59"/>
        <v>1750</v>
      </c>
      <c r="H342" s="5">
        <f t="shared" si="60"/>
        <v>1750</v>
      </c>
      <c r="I342" s="64">
        <v>1</v>
      </c>
      <c r="J342" s="142">
        <f t="shared" si="61"/>
        <v>1750</v>
      </c>
      <c r="K342" s="5">
        <f t="shared" si="62"/>
        <v>1750</v>
      </c>
      <c r="L342" s="63">
        <v>1</v>
      </c>
      <c r="M342" s="142">
        <f t="shared" si="63"/>
        <v>1750</v>
      </c>
      <c r="N342" s="52" t="s">
        <v>488</v>
      </c>
    </row>
    <row r="343" spans="1:36" s="10" customFormat="1" ht="36.75" customHeight="1">
      <c r="A343" s="50">
        <f>A348</f>
        <v>10</v>
      </c>
      <c r="B343" s="75" t="s">
        <v>248</v>
      </c>
      <c r="C343" s="4" t="s">
        <v>335</v>
      </c>
      <c r="D343" s="37"/>
      <c r="E343" s="5"/>
      <c r="F343" s="63">
        <v>1</v>
      </c>
      <c r="G343" s="142">
        <f t="shared" si="59"/>
        <v>0</v>
      </c>
      <c r="H343" s="5">
        <f t="shared" si="60"/>
        <v>0</v>
      </c>
      <c r="I343" s="64">
        <v>1</v>
      </c>
      <c r="J343" s="142">
        <f t="shared" si="61"/>
        <v>0</v>
      </c>
      <c r="K343" s="5">
        <f t="shared" si="62"/>
        <v>0</v>
      </c>
      <c r="L343" s="63">
        <v>1</v>
      </c>
      <c r="M343" s="142">
        <f t="shared" si="63"/>
        <v>0</v>
      </c>
      <c r="N343" s="58"/>
      <c r="S343" s="127"/>
      <c r="T343" s="127"/>
      <c r="U343" s="127"/>
      <c r="V343" s="127"/>
      <c r="W343" s="127"/>
      <c r="X343" s="127"/>
      <c r="Y343" s="127"/>
      <c r="Z343" s="127"/>
      <c r="AA343" s="127"/>
      <c r="AB343" s="127"/>
      <c r="AC343" s="127"/>
      <c r="AD343" s="127"/>
      <c r="AE343" s="127"/>
      <c r="AF343" s="127"/>
      <c r="AG343" s="127"/>
      <c r="AH343" s="127"/>
      <c r="AI343" s="127"/>
      <c r="AJ343" s="127"/>
    </row>
    <row r="344" spans="1:14" ht="12.75" thickBot="1">
      <c r="A344" s="33"/>
      <c r="B344" s="79" t="s">
        <v>152</v>
      </c>
      <c r="C344" s="153"/>
      <c r="D344" s="154">
        <f>ROUNDDOWN(SUM(D334:D343),2)</f>
        <v>1750</v>
      </c>
      <c r="E344" s="154">
        <f>ROUNDDOWN(SUM(E334:E343),2)</f>
        <v>1750</v>
      </c>
      <c r="F344" s="154"/>
      <c r="G344" s="154">
        <f>ROUNDDOWN(SUM(G334:G343),0)</f>
        <v>1750</v>
      </c>
      <c r="H344" s="154">
        <f>ROUNDDOWN(SUM(H334:H343),2)</f>
        <v>1750</v>
      </c>
      <c r="I344" s="154"/>
      <c r="J344" s="154">
        <f>ROUNDDOWN(SUM(J334:J343),0)</f>
        <v>1750</v>
      </c>
      <c r="K344" s="154">
        <f>ROUNDDOWN(SUM(K334:K343),2)</f>
        <v>1750</v>
      </c>
      <c r="L344" s="154"/>
      <c r="M344" s="154">
        <f>ROUNDDOWN(SUM(M334:M343),0)</f>
        <v>1750</v>
      </c>
      <c r="N344" s="60"/>
    </row>
    <row r="345" spans="1:14" ht="12.75" customHeight="1">
      <c r="A345" s="837" t="s">
        <v>435</v>
      </c>
      <c r="B345" s="838"/>
      <c r="C345" s="195"/>
      <c r="D345" s="194">
        <f>ROUNDDOWN(D344,2)</f>
        <v>1750</v>
      </c>
      <c r="E345" s="194">
        <f aca="true" t="shared" si="65" ref="E345:K345">ROUNDDOWN(E344,2)</f>
        <v>1750</v>
      </c>
      <c r="F345" s="194"/>
      <c r="G345" s="194">
        <f>ROUNDDOWN(G344,0)</f>
        <v>1750</v>
      </c>
      <c r="H345" s="194">
        <f t="shared" si="65"/>
        <v>1750</v>
      </c>
      <c r="I345" s="194"/>
      <c r="J345" s="194">
        <f>ROUNDDOWN(J344,0)</f>
        <v>1750</v>
      </c>
      <c r="K345" s="194">
        <f t="shared" si="65"/>
        <v>1750</v>
      </c>
      <c r="L345" s="194"/>
      <c r="M345" s="194">
        <f>ROUNDDOWN(M344,0)</f>
        <v>1750</v>
      </c>
      <c r="N345" s="193"/>
    </row>
    <row r="346" spans="1:14" ht="12.75">
      <c r="A346" s="839" t="s">
        <v>491</v>
      </c>
      <c r="B346" s="840"/>
      <c r="C346" s="213"/>
      <c r="D346" s="203"/>
      <c r="E346" s="214"/>
      <c r="F346" s="215"/>
      <c r="G346" s="216"/>
      <c r="H346" s="214"/>
      <c r="I346" s="215"/>
      <c r="J346" s="216"/>
      <c r="K346" s="214"/>
      <c r="L346" s="215"/>
      <c r="M346" s="216"/>
      <c r="N346" s="207"/>
    </row>
    <row r="347" spans="1:14" ht="12">
      <c r="A347" s="84" t="s">
        <v>139</v>
      </c>
      <c r="B347" s="85"/>
      <c r="C347" s="99"/>
      <c r="D347" s="87"/>
      <c r="E347" s="88"/>
      <c r="F347" s="89"/>
      <c r="G347" s="90"/>
      <c r="H347" s="88"/>
      <c r="I347" s="89"/>
      <c r="J347" s="90"/>
      <c r="K347" s="88"/>
      <c r="L347" s="89"/>
      <c r="M347" s="90"/>
      <c r="N347" s="91"/>
    </row>
    <row r="348" spans="1:14" ht="22.5">
      <c r="A348" s="50">
        <f>1+A342</f>
        <v>10</v>
      </c>
      <c r="B348" s="74" t="s">
        <v>265</v>
      </c>
      <c r="C348" s="3" t="s">
        <v>500</v>
      </c>
      <c r="D348" s="6">
        <v>6137</v>
      </c>
      <c r="E348" s="5"/>
      <c r="F348" s="63">
        <v>1</v>
      </c>
      <c r="G348" s="142">
        <f>ROUND(E348*F348,0)</f>
        <v>0</v>
      </c>
      <c r="H348" s="5">
        <f>G348</f>
        <v>0</v>
      </c>
      <c r="I348" s="64">
        <v>1</v>
      </c>
      <c r="J348" s="142">
        <f>ROUND(H348*I348,0)</f>
        <v>0</v>
      </c>
      <c r="K348" s="5">
        <f>J348</f>
        <v>0</v>
      </c>
      <c r="L348" s="63">
        <v>1</v>
      </c>
      <c r="M348" s="142">
        <f>ROUND(K348*L348,0)</f>
        <v>0</v>
      </c>
      <c r="N348" s="52"/>
    </row>
    <row r="349" spans="1:14" ht="12.75" thickBot="1">
      <c r="A349" s="33"/>
      <c r="B349" s="79" t="s">
        <v>152</v>
      </c>
      <c r="C349" s="153"/>
      <c r="D349" s="154">
        <f>ROUNDDOWN(SUM(D348),2)</f>
        <v>6137</v>
      </c>
      <c r="E349" s="154">
        <f>ROUNDDOWN(SUM(E348),2)</f>
        <v>0</v>
      </c>
      <c r="F349" s="154"/>
      <c r="G349" s="154">
        <f>ROUNDDOWN(SUM(G348),0)</f>
        <v>0</v>
      </c>
      <c r="H349" s="154">
        <f>ROUNDDOWN(SUM(H348),2)</f>
        <v>0</v>
      </c>
      <c r="I349" s="154"/>
      <c r="J349" s="154">
        <f>ROUNDDOWN(SUM(J348),0)</f>
        <v>0</v>
      </c>
      <c r="K349" s="154">
        <f>ROUNDDOWN(SUM(K348),2)</f>
        <v>0</v>
      </c>
      <c r="L349" s="154"/>
      <c r="M349" s="154">
        <f>ROUNDDOWN(SUM(M348),0)</f>
        <v>0</v>
      </c>
      <c r="N349" s="60"/>
    </row>
    <row r="350" spans="1:19" ht="13.5" thickBot="1">
      <c r="A350" s="837" t="s">
        <v>492</v>
      </c>
      <c r="B350" s="838"/>
      <c r="C350" s="195"/>
      <c r="D350" s="194">
        <f>ROUNDDOWN(D349,2)</f>
        <v>6137</v>
      </c>
      <c r="E350" s="194">
        <f>ROUNDDOWN(E349,2)</f>
        <v>0</v>
      </c>
      <c r="F350" s="194"/>
      <c r="G350" s="194">
        <f>ROUNDDOWN(G349,0)</f>
        <v>0</v>
      </c>
      <c r="H350" s="194">
        <f>ROUNDDOWN(H349,2)</f>
        <v>0</v>
      </c>
      <c r="I350" s="194"/>
      <c r="J350" s="194">
        <f>ROUNDDOWN(J349,0)</f>
        <v>0</v>
      </c>
      <c r="K350" s="194">
        <f>ROUNDDOWN(K349,2)</f>
        <v>0</v>
      </c>
      <c r="L350" s="194"/>
      <c r="M350" s="194">
        <f>ROUNDDOWN(M349,0)</f>
        <v>0</v>
      </c>
      <c r="N350" s="193"/>
      <c r="P350" s="702">
        <v>2017</v>
      </c>
      <c r="Q350" s="702">
        <v>2018</v>
      </c>
      <c r="R350" s="702">
        <v>2019</v>
      </c>
      <c r="S350" s="702">
        <v>2020</v>
      </c>
    </row>
    <row r="351" spans="1:19" ht="13.5" customHeight="1" thickBot="1">
      <c r="A351" s="852" t="s">
        <v>411</v>
      </c>
      <c r="B351" s="853"/>
      <c r="C351" s="294"/>
      <c r="D351" s="295">
        <f>D350+D331+D326+D322+D32+D22+D345+D18</f>
        <v>32903801.69</v>
      </c>
      <c r="E351" s="295">
        <f>E350+E331+E326+E322+E32+E22+E345+E18</f>
        <v>31547664.69</v>
      </c>
      <c r="F351" s="295"/>
      <c r="G351" s="295">
        <f>G350+G331+G326+G322+G32+G22+G345+G18</f>
        <v>31547664</v>
      </c>
      <c r="H351" s="295">
        <f>H350+H331+H326+H322+H32+H22+H345+H18</f>
        <v>31547664.69</v>
      </c>
      <c r="I351" s="295"/>
      <c r="J351" s="295">
        <f>J350+J331+J326+J322+J32+J22+J345+J18</f>
        <v>31547664</v>
      </c>
      <c r="K351" s="295">
        <f>K350+K331+K326+K322+K32+K22+K345+K18</f>
        <v>31547664.69</v>
      </c>
      <c r="L351" s="295"/>
      <c r="M351" s="295">
        <f>M350+M331+M326+M322+M32+M22+M345+M18</f>
        <v>31547664</v>
      </c>
      <c r="N351" s="296"/>
      <c r="O351" s="82"/>
      <c r="P351" s="703">
        <v>31547668.69</v>
      </c>
      <c r="Q351" s="703">
        <v>31547668.69</v>
      </c>
      <c r="R351" s="703">
        <v>31547668.689999998</v>
      </c>
      <c r="S351" s="703">
        <f>R351</f>
        <v>31547668.689999998</v>
      </c>
    </row>
    <row r="352" spans="1:19" ht="63" customHeight="1">
      <c r="A352" s="304">
        <v>1</v>
      </c>
      <c r="B352" s="293" t="s">
        <v>493</v>
      </c>
      <c r="C352" s="162" t="s">
        <v>486</v>
      </c>
      <c r="D352" s="163">
        <v>107789</v>
      </c>
      <c r="E352" s="793">
        <v>203386.56</v>
      </c>
      <c r="F352" s="716">
        <v>1</v>
      </c>
      <c r="G352" s="794">
        <f>ROUNDDOWN((E352*F352),0)</f>
        <v>203386</v>
      </c>
      <c r="H352" s="793">
        <v>203386.56</v>
      </c>
      <c r="I352" s="716">
        <v>1</v>
      </c>
      <c r="J352" s="794">
        <f>ROUNDDOWN((H352*I352),0)</f>
        <v>203386</v>
      </c>
      <c r="K352" s="793">
        <f>H352</f>
        <v>203386.56</v>
      </c>
      <c r="L352" s="716">
        <v>1</v>
      </c>
      <c r="M352" s="794">
        <f>ROUNDDOWN((K352*L352),0)</f>
        <v>203386</v>
      </c>
      <c r="N352" s="166" t="s">
        <v>485</v>
      </c>
      <c r="O352" s="82"/>
      <c r="P352" s="116">
        <f>D351-P351</f>
        <v>1356133</v>
      </c>
      <c r="Q352" s="116">
        <f>E351-Q351</f>
        <v>-4</v>
      </c>
      <c r="R352" s="116">
        <f>H351-R351</f>
        <v>-3.9999999962747097</v>
      </c>
      <c r="S352" s="116">
        <f>K351-S351</f>
        <v>-3.9999999962747097</v>
      </c>
    </row>
    <row r="353" spans="1:18" ht="36">
      <c r="A353" s="303">
        <f>A352+1</f>
        <v>2</v>
      </c>
      <c r="B353" s="98" t="s">
        <v>494</v>
      </c>
      <c r="C353" s="3" t="s">
        <v>503</v>
      </c>
      <c r="D353" s="714">
        <v>299988</v>
      </c>
      <c r="E353" s="708">
        <v>316654</v>
      </c>
      <c r="F353" s="709">
        <v>1</v>
      </c>
      <c r="G353" s="715">
        <f>ROUNDDOWN((E353*F353),0)</f>
        <v>316654</v>
      </c>
      <c r="H353" s="708">
        <v>316654</v>
      </c>
      <c r="I353" s="709">
        <v>1</v>
      </c>
      <c r="J353" s="715">
        <f>ROUNDDOWN((H353*I353),0)</f>
        <v>316654</v>
      </c>
      <c r="K353" s="708">
        <f>J353</f>
        <v>316654</v>
      </c>
      <c r="L353" s="709">
        <v>1</v>
      </c>
      <c r="M353" s="715">
        <f>ROUNDDOWN((K353*L353),0)</f>
        <v>316654</v>
      </c>
      <c r="N353" s="704" t="s">
        <v>551</v>
      </c>
      <c r="O353" s="702" t="s">
        <v>1152</v>
      </c>
      <c r="P353" s="703">
        <v>32903801.700000003</v>
      </c>
      <c r="Q353" s="116">
        <f>P353-D351</f>
        <v>0.010000001639127731</v>
      </c>
      <c r="R353" s="82"/>
    </row>
    <row r="354" spans="1:36" s="35" customFormat="1" ht="132">
      <c r="A354" s="303">
        <f>A353+1</f>
        <v>3</v>
      </c>
      <c r="B354" s="98" t="s">
        <v>495</v>
      </c>
      <c r="C354" s="3" t="s">
        <v>496</v>
      </c>
      <c r="D354" s="6">
        <v>32925</v>
      </c>
      <c r="E354" s="708">
        <v>31268</v>
      </c>
      <c r="F354" s="709">
        <v>1</v>
      </c>
      <c r="G354" s="715">
        <f>ROUNDDOWN((E354*F354),0)</f>
        <v>31268</v>
      </c>
      <c r="H354" s="708">
        <f>E354</f>
        <v>31268</v>
      </c>
      <c r="I354" s="709">
        <v>1</v>
      </c>
      <c r="J354" s="715">
        <f>ROUNDDOWN((H354*I354),0)</f>
        <v>31268</v>
      </c>
      <c r="K354" s="708">
        <f>J354</f>
        <v>31268</v>
      </c>
      <c r="L354" s="709">
        <v>1</v>
      </c>
      <c r="M354" s="715">
        <f>ROUNDDOWN((K354*L354),0)</f>
        <v>31268</v>
      </c>
      <c r="N354" s="52" t="s">
        <v>485</v>
      </c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129"/>
      <c r="AE354" s="129"/>
      <c r="AF354" s="129"/>
      <c r="AG354" s="129"/>
      <c r="AH354" s="129"/>
      <c r="AI354" s="129"/>
      <c r="AJ354" s="129"/>
    </row>
    <row r="355" spans="1:14" ht="45">
      <c r="A355" s="303">
        <f>A354+1</f>
        <v>4</v>
      </c>
      <c r="B355" s="118" t="s">
        <v>497</v>
      </c>
      <c r="C355" s="119" t="s">
        <v>327</v>
      </c>
      <c r="D355" s="120">
        <v>27600</v>
      </c>
      <c r="E355" s="708">
        <v>26400</v>
      </c>
      <c r="F355" s="709">
        <v>1</v>
      </c>
      <c r="G355" s="715">
        <f>ROUNDDOWN((E355*F355),0)</f>
        <v>26400</v>
      </c>
      <c r="H355" s="708">
        <v>26400</v>
      </c>
      <c r="I355" s="709">
        <v>1</v>
      </c>
      <c r="J355" s="715">
        <f>ROUNDDOWN((H355*I355),0)</f>
        <v>26400</v>
      </c>
      <c r="K355" s="708">
        <f>J355</f>
        <v>26400</v>
      </c>
      <c r="L355" s="709">
        <v>1</v>
      </c>
      <c r="M355" s="715">
        <f>ROUNDDOWN((K355*L355),0)</f>
        <v>26400</v>
      </c>
      <c r="N355" s="181" t="s">
        <v>734</v>
      </c>
    </row>
    <row r="356" spans="1:14" ht="80.25" customHeight="1">
      <c r="A356" s="303">
        <f>A355+1</f>
        <v>5</v>
      </c>
      <c r="B356" s="98" t="s">
        <v>498</v>
      </c>
      <c r="C356" s="3" t="s">
        <v>243</v>
      </c>
      <c r="D356" s="6"/>
      <c r="E356" s="708">
        <v>33270</v>
      </c>
      <c r="F356" s="709">
        <v>1</v>
      </c>
      <c r="G356" s="715">
        <f>ROUNDDOWN((E356*F356),0)</f>
        <v>33270</v>
      </c>
      <c r="H356" s="708">
        <v>22180</v>
      </c>
      <c r="I356" s="709">
        <v>1</v>
      </c>
      <c r="J356" s="715">
        <f>ROUNDDOWN((H356*I356),0)</f>
        <v>22180</v>
      </c>
      <c r="K356" s="708">
        <f>J356</f>
        <v>22180</v>
      </c>
      <c r="L356" s="709">
        <v>1</v>
      </c>
      <c r="M356" s="715">
        <f>ROUNDDOWN((K356*L356),0)</f>
        <v>22180</v>
      </c>
      <c r="N356" s="52" t="s">
        <v>485</v>
      </c>
    </row>
    <row r="357" spans="1:14" ht="12.75" thickBot="1">
      <c r="A357" s="130" t="s">
        <v>306</v>
      </c>
      <c r="B357" s="131"/>
      <c r="C357" s="132"/>
      <c r="D357" s="174">
        <f>SUM(D351:D356)</f>
        <v>33372103.69</v>
      </c>
      <c r="E357" s="177">
        <f>SUM(E351:E356)</f>
        <v>32158643.25</v>
      </c>
      <c r="F357" s="133"/>
      <c r="G357" s="178">
        <f>SUM(G351:G356)</f>
        <v>32158642</v>
      </c>
      <c r="H357" s="177">
        <f>SUM(H351:H356)</f>
        <v>32147553.25</v>
      </c>
      <c r="I357" s="133"/>
      <c r="J357" s="178">
        <f>SUM(J351:J356)</f>
        <v>32147552</v>
      </c>
      <c r="K357" s="177">
        <f>SUM(K351:K356)</f>
        <v>32147553.25</v>
      </c>
      <c r="L357" s="133"/>
      <c r="M357" s="178">
        <f>SUM(M351:M356)</f>
        <v>32147552</v>
      </c>
      <c r="N357" s="182"/>
    </row>
    <row r="358" spans="1:36" s="106" customFormat="1" ht="15.75" hidden="1">
      <c r="A358" s="43"/>
      <c r="B358" s="505" t="s">
        <v>894</v>
      </c>
      <c r="C358" s="44"/>
      <c r="D358" s="17"/>
      <c r="E358" s="11">
        <v>130600</v>
      </c>
      <c r="F358" s="62"/>
      <c r="G358" s="17"/>
      <c r="H358" s="11"/>
      <c r="I358" s="62"/>
      <c r="J358" s="17"/>
      <c r="K358" s="11"/>
      <c r="L358" s="62"/>
      <c r="M358" s="17"/>
      <c r="N358" s="12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</row>
    <row r="359" spans="1:36" s="106" customFormat="1" ht="15.75" hidden="1">
      <c r="A359" s="43"/>
      <c r="B359" s="505" t="s">
        <v>895</v>
      </c>
      <c r="C359" s="44"/>
      <c r="D359" s="17"/>
      <c r="E359" s="11"/>
      <c r="F359" s="62"/>
      <c r="G359" s="17"/>
      <c r="H359" s="11">
        <v>3233600</v>
      </c>
      <c r="I359" s="62"/>
      <c r="J359" s="17"/>
      <c r="K359" s="11">
        <v>3233600</v>
      </c>
      <c r="L359" s="62"/>
      <c r="M359" s="17"/>
      <c r="N359" s="12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</row>
    <row r="360" spans="1:18" ht="15.75">
      <c r="A360" s="101"/>
      <c r="B360" s="102"/>
      <c r="C360" s="103"/>
      <c r="D360" s="103"/>
      <c r="E360" s="104"/>
      <c r="F360" s="105"/>
      <c r="G360" s="103"/>
      <c r="H360" s="104"/>
      <c r="I360" s="105"/>
      <c r="J360" s="103"/>
      <c r="K360" s="104"/>
      <c r="L360" s="105"/>
      <c r="M360" s="106"/>
      <c r="N360" s="107"/>
      <c r="O360" s="82"/>
      <c r="P360" s="82"/>
      <c r="Q360" s="82"/>
      <c r="R360" s="82"/>
    </row>
    <row r="361" spans="2:18" ht="17.25" customHeight="1">
      <c r="B361" s="117"/>
      <c r="D361" s="11"/>
      <c r="E361" s="62"/>
      <c r="F361" s="17"/>
      <c r="G361" s="11"/>
      <c r="H361" s="62"/>
      <c r="I361" s="17"/>
      <c r="J361" s="11"/>
      <c r="K361" s="62"/>
      <c r="L361" s="17"/>
      <c r="M361" s="12"/>
      <c r="N361" s="82"/>
      <c r="O361" s="82"/>
      <c r="P361" s="82"/>
      <c r="Q361" s="82"/>
      <c r="R361" s="82"/>
    </row>
    <row r="362" spans="3:18" ht="12.75" customHeight="1">
      <c r="C362" s="108" t="s">
        <v>1197</v>
      </c>
      <c r="D362" s="109"/>
      <c r="E362" s="110"/>
      <c r="F362" s="820" t="s">
        <v>1198</v>
      </c>
      <c r="G362" s="821"/>
      <c r="H362" s="110"/>
      <c r="I362" s="111"/>
      <c r="J362" s="112"/>
      <c r="K362" s="110"/>
      <c r="L362" s="111"/>
      <c r="M362" s="82"/>
      <c r="N362" s="82"/>
      <c r="O362" s="82"/>
      <c r="P362" s="82"/>
      <c r="Q362" s="82"/>
      <c r="R362" s="82"/>
    </row>
    <row r="363" spans="4:18" ht="12">
      <c r="D363" s="113"/>
      <c r="E363" s="114"/>
      <c r="F363" s="115" t="s">
        <v>415</v>
      </c>
      <c r="G363" s="12"/>
      <c r="H363" s="114"/>
      <c r="I363" s="115"/>
      <c r="J363" s="116"/>
      <c r="K363" s="114"/>
      <c r="L363" s="115"/>
      <c r="M363" s="82"/>
      <c r="N363" s="82"/>
      <c r="O363" s="82"/>
      <c r="P363" s="82"/>
      <c r="Q363" s="82"/>
      <c r="R363" s="82"/>
    </row>
    <row r="364" spans="4:18" ht="12">
      <c r="D364" s="11"/>
      <c r="E364" s="62"/>
      <c r="F364" s="17"/>
      <c r="G364" s="11"/>
      <c r="H364" s="62"/>
      <c r="I364" s="17"/>
      <c r="J364" s="11"/>
      <c r="K364" s="62"/>
      <c r="L364" s="17"/>
      <c r="M364" s="12"/>
      <c r="N364" s="82"/>
      <c r="O364" s="82"/>
      <c r="P364" s="82"/>
      <c r="Q364" s="82"/>
      <c r="R364" s="82"/>
    </row>
    <row r="365" spans="4:18" ht="12">
      <c r="D365" s="11"/>
      <c r="E365" s="62"/>
      <c r="F365" s="17"/>
      <c r="G365" s="11"/>
      <c r="H365" s="62"/>
      <c r="I365" s="17"/>
      <c r="J365" s="11"/>
      <c r="K365" s="62"/>
      <c r="L365" s="17"/>
      <c r="M365" s="12"/>
      <c r="N365" s="82"/>
      <c r="O365" s="82"/>
      <c r="P365" s="82"/>
      <c r="Q365" s="82"/>
      <c r="R365" s="82"/>
    </row>
    <row r="366" spans="4:18" ht="12">
      <c r="D366" s="11"/>
      <c r="E366" s="62"/>
      <c r="F366" s="17"/>
      <c r="G366" s="11"/>
      <c r="H366" s="62"/>
      <c r="I366" s="17"/>
      <c r="J366" s="11"/>
      <c r="K366" s="62"/>
      <c r="L366" s="17"/>
      <c r="M366" s="12"/>
      <c r="N366" s="82"/>
      <c r="O366" s="82"/>
      <c r="P366" s="82"/>
      <c r="Q366" s="82"/>
      <c r="R366" s="82"/>
    </row>
    <row r="367" spans="3:18" ht="12.75">
      <c r="C367" s="108" t="s">
        <v>416</v>
      </c>
      <c r="D367" s="109"/>
      <c r="E367" s="110"/>
      <c r="F367" s="820" t="s">
        <v>1196</v>
      </c>
      <c r="G367" s="821"/>
      <c r="H367" s="62"/>
      <c r="I367" s="17"/>
      <c r="J367" s="11"/>
      <c r="K367" s="62"/>
      <c r="L367" s="17"/>
      <c r="M367" s="12"/>
      <c r="N367" s="82"/>
      <c r="O367" s="82"/>
      <c r="P367" s="82"/>
      <c r="Q367" s="82"/>
      <c r="R367" s="82"/>
    </row>
    <row r="368" spans="4:14" ht="12">
      <c r="D368" s="113"/>
      <c r="E368" s="114"/>
      <c r="F368" s="115" t="s">
        <v>415</v>
      </c>
      <c r="G368" s="12"/>
      <c r="H368" s="62"/>
      <c r="I368" s="17"/>
      <c r="J368" s="11"/>
      <c r="K368" s="62"/>
      <c r="L368" s="17"/>
      <c r="M368" s="12"/>
      <c r="N368" s="82"/>
    </row>
  </sheetData>
  <sheetProtection/>
  <mergeCells count="30">
    <mergeCell ref="N3:O3"/>
    <mergeCell ref="A322:B322"/>
    <mergeCell ref="A19:B19"/>
    <mergeCell ref="A18:B18"/>
    <mergeCell ref="A351:B351"/>
    <mergeCell ref="A323:B323"/>
    <mergeCell ref="A326:B326"/>
    <mergeCell ref="A327:B327"/>
    <mergeCell ref="A331:B331"/>
    <mergeCell ref="A332:B332"/>
    <mergeCell ref="A350:B350"/>
    <mergeCell ref="K10:M10"/>
    <mergeCell ref="A13:B13"/>
    <mergeCell ref="A22:B22"/>
    <mergeCell ref="A23:B23"/>
    <mergeCell ref="A32:B32"/>
    <mergeCell ref="A33:B33"/>
    <mergeCell ref="A8:A11"/>
    <mergeCell ref="A345:B345"/>
    <mergeCell ref="A346:B346"/>
    <mergeCell ref="F367:G367"/>
    <mergeCell ref="F362:G362"/>
    <mergeCell ref="N8:N11"/>
    <mergeCell ref="C6:G6"/>
    <mergeCell ref="B8:B11"/>
    <mergeCell ref="C8:C11"/>
    <mergeCell ref="D8:M9"/>
    <mergeCell ref="D10:D11"/>
    <mergeCell ref="E10:G10"/>
    <mergeCell ref="H10:J10"/>
  </mergeCells>
  <printOptions/>
  <pageMargins left="0" right="0" top="0.1968503937007874" bottom="0.1968503937007874" header="0.5118110236220472" footer="0.5118110236220472"/>
  <pageSetup fitToHeight="50" horizontalDpi="600" verticalDpi="600" orientation="landscape" paperSize="9" scale="7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zoomScalePageLayoutView="0" workbookViewId="0" topLeftCell="A28">
      <selection activeCell="C36" sqref="C36"/>
    </sheetView>
  </sheetViews>
  <sheetFormatPr defaultColWidth="9.00390625" defaultRowHeight="12.75"/>
  <cols>
    <col min="1" max="1" width="18.25390625" style="0" customWidth="1"/>
    <col min="2" max="2" width="20.375" style="0" customWidth="1"/>
    <col min="3" max="3" width="19.625" style="0" customWidth="1"/>
    <col min="4" max="4" width="15.375" style="0" customWidth="1"/>
    <col min="5" max="5" width="13.375" style="0" customWidth="1"/>
    <col min="6" max="6" width="12.625" style="0" customWidth="1"/>
  </cols>
  <sheetData>
    <row r="1" spans="1:12" ht="16.5">
      <c r="A1" s="977" t="s">
        <v>655</v>
      </c>
      <c r="B1" s="977"/>
      <c r="C1" s="977"/>
      <c r="D1" s="977"/>
      <c r="E1" s="977"/>
      <c r="F1" s="977"/>
      <c r="G1" s="341"/>
      <c r="H1" s="341"/>
      <c r="I1" s="341"/>
      <c r="J1" s="341"/>
      <c r="K1" s="341"/>
      <c r="L1" s="341"/>
    </row>
    <row r="2" spans="1:12" ht="15.75">
      <c r="A2" s="977" t="s">
        <v>656</v>
      </c>
      <c r="B2" s="977"/>
      <c r="C2" s="977"/>
      <c r="D2" s="977"/>
      <c r="E2" s="977"/>
      <c r="F2" s="977"/>
      <c r="G2" s="341"/>
      <c r="H2" s="341"/>
      <c r="I2" s="341"/>
      <c r="J2" s="341"/>
      <c r="K2" s="341"/>
      <c r="L2" s="341"/>
    </row>
    <row r="3" spans="1:12" ht="15.75">
      <c r="A3" s="978" t="s">
        <v>657</v>
      </c>
      <c r="B3" s="978"/>
      <c r="C3" s="978"/>
      <c r="D3" s="978"/>
      <c r="E3" s="978"/>
      <c r="F3" s="978"/>
      <c r="G3" s="341"/>
      <c r="H3" s="341"/>
      <c r="I3" s="341"/>
      <c r="J3" s="341"/>
      <c r="K3" s="341"/>
      <c r="L3" s="341"/>
    </row>
    <row r="4" spans="1:12" ht="15.75">
      <c r="A4" s="342"/>
      <c r="B4" s="979" t="s">
        <v>658</v>
      </c>
      <c r="C4" s="979"/>
      <c r="D4" s="979"/>
      <c r="E4" s="979"/>
      <c r="F4" s="342"/>
      <c r="G4" s="341"/>
      <c r="H4" s="341"/>
      <c r="I4" s="341"/>
      <c r="J4" s="341"/>
      <c r="K4" s="341"/>
      <c r="L4" s="341"/>
    </row>
    <row r="5" spans="1:12" ht="15.75">
      <c r="A5" s="342"/>
      <c r="B5" s="533"/>
      <c r="C5" s="533" t="s">
        <v>905</v>
      </c>
      <c r="D5" s="533"/>
      <c r="E5" s="533"/>
      <c r="F5" s="342"/>
      <c r="G5" s="341"/>
      <c r="H5" s="341"/>
      <c r="I5" s="341"/>
      <c r="J5" s="341"/>
      <c r="K5" s="341"/>
      <c r="L5" s="341"/>
    </row>
    <row r="6" spans="1:12" ht="15.75">
      <c r="A6" s="343" t="s">
        <v>659</v>
      </c>
      <c r="B6" s="343"/>
      <c r="C6" s="343"/>
      <c r="D6" s="343"/>
      <c r="E6" s="343"/>
      <c r="F6" s="343"/>
      <c r="G6" s="344"/>
      <c r="H6" s="344"/>
      <c r="I6" s="344"/>
      <c r="J6" s="344"/>
      <c r="K6" s="344"/>
      <c r="L6" s="344"/>
    </row>
    <row r="7" spans="1:12" ht="12.75">
      <c r="A7" s="345" t="s">
        <v>660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</row>
    <row r="8" spans="1:12" ht="12.75">
      <c r="A8" s="345" t="s">
        <v>661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</row>
    <row r="9" spans="1:12" ht="12.75">
      <c r="A9" s="345" t="s">
        <v>662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</row>
    <row r="10" spans="1:12" ht="12.75">
      <c r="A10" s="345" t="s">
        <v>663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</row>
    <row r="11" spans="1:12" ht="12.75">
      <c r="A11" s="345" t="s">
        <v>664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</row>
    <row r="12" spans="1:12" ht="12.75">
      <c r="A12" s="345" t="s">
        <v>665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</row>
    <row r="13" spans="1:12" ht="12.75">
      <c r="A13" s="344"/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</row>
    <row r="14" spans="1:12" ht="15.75">
      <c r="A14" s="980" t="s">
        <v>666</v>
      </c>
      <c r="B14" s="980"/>
      <c r="C14" s="346">
        <v>2014</v>
      </c>
      <c r="D14" s="346">
        <v>2015</v>
      </c>
      <c r="E14" s="347">
        <v>2016</v>
      </c>
      <c r="F14" s="347">
        <v>2017</v>
      </c>
      <c r="G14" s="344"/>
      <c r="H14" s="344"/>
      <c r="I14" s="344"/>
      <c r="J14" s="344"/>
      <c r="K14" s="344"/>
      <c r="L14" s="344"/>
    </row>
    <row r="15" spans="1:12" ht="15.75">
      <c r="A15" s="981" t="s">
        <v>667</v>
      </c>
      <c r="B15" s="981"/>
      <c r="C15" s="346">
        <v>365</v>
      </c>
      <c r="D15" s="346">
        <v>365</v>
      </c>
      <c r="E15" s="347">
        <v>366</v>
      </c>
      <c r="F15" s="347">
        <v>365</v>
      </c>
      <c r="G15" s="349"/>
      <c r="H15" s="344"/>
      <c r="I15" s="344"/>
      <c r="J15" s="344"/>
      <c r="K15" s="344"/>
      <c r="L15" s="344"/>
    </row>
    <row r="16" spans="1:12" ht="15.75">
      <c r="A16" s="982" t="s">
        <v>668</v>
      </c>
      <c r="B16" s="983"/>
      <c r="C16" s="984" t="s">
        <v>669</v>
      </c>
      <c r="D16" s="984"/>
      <c r="E16" s="985">
        <v>8</v>
      </c>
      <c r="F16" s="350"/>
      <c r="G16" s="351"/>
      <c r="H16" s="344"/>
      <c r="I16" s="344"/>
      <c r="J16" s="344"/>
      <c r="K16" s="344"/>
      <c r="L16" s="344"/>
    </row>
    <row r="17" spans="1:12" ht="15.75">
      <c r="A17" s="352"/>
      <c r="B17" s="353"/>
      <c r="C17" s="987" t="s">
        <v>670</v>
      </c>
      <c r="D17" s="987"/>
      <c r="E17" s="986"/>
      <c r="F17" s="350"/>
      <c r="G17" s="988"/>
      <c r="H17" s="989"/>
      <c r="I17" s="989"/>
      <c r="J17" s="989"/>
      <c r="K17" s="989"/>
      <c r="L17" s="989"/>
    </row>
    <row r="18" spans="1:12" ht="15.75">
      <c r="A18" s="352"/>
      <c r="B18" s="353"/>
      <c r="C18" s="990" t="s">
        <v>671</v>
      </c>
      <c r="D18" s="990"/>
      <c r="E18" s="990"/>
      <c r="F18" s="991"/>
      <c r="G18" s="344"/>
      <c r="H18" s="344"/>
      <c r="I18" s="344"/>
      <c r="J18" s="344"/>
      <c r="K18" s="344"/>
      <c r="L18" s="344"/>
    </row>
    <row r="19" spans="1:12" ht="15.75">
      <c r="A19" s="352"/>
      <c r="B19" s="353"/>
      <c r="C19" s="990" t="s">
        <v>672</v>
      </c>
      <c r="D19" s="990"/>
      <c r="E19" s="990"/>
      <c r="F19" s="991"/>
      <c r="G19" s="343"/>
      <c r="H19" s="344"/>
      <c r="I19" s="344"/>
      <c r="J19" s="344"/>
      <c r="K19" s="344"/>
      <c r="L19" s="344"/>
    </row>
    <row r="20" spans="1:12" ht="15.75">
      <c r="A20" s="995" t="s">
        <v>673</v>
      </c>
      <c r="B20" s="996"/>
      <c r="C20" s="996"/>
      <c r="D20" s="996"/>
      <c r="E20" s="996"/>
      <c r="F20" s="997"/>
      <c r="G20" s="343"/>
      <c r="H20" s="356"/>
      <c r="I20" s="356"/>
      <c r="J20" s="356"/>
      <c r="K20" s="356"/>
      <c r="L20" s="356"/>
    </row>
    <row r="21" spans="1:12" ht="34.5" customHeight="1">
      <c r="A21" s="998" t="s">
        <v>674</v>
      </c>
      <c r="B21" s="983"/>
      <c r="C21" s="983"/>
      <c r="D21" s="996"/>
      <c r="E21" s="996"/>
      <c r="F21" s="997"/>
      <c r="G21" s="343"/>
      <c r="H21" s="344"/>
      <c r="I21" s="344"/>
      <c r="J21" s="344"/>
      <c r="K21" s="344"/>
      <c r="L21" s="344"/>
    </row>
    <row r="22" spans="1:12" ht="15" customHeight="1">
      <c r="A22" s="999" t="s">
        <v>675</v>
      </c>
      <c r="B22" s="1000"/>
      <c r="C22" s="1000"/>
      <c r="D22" s="1000"/>
      <c r="E22" s="1000"/>
      <c r="F22" s="1001"/>
      <c r="G22" s="357"/>
      <c r="H22" s="358"/>
      <c r="I22" s="358"/>
      <c r="J22" s="358"/>
      <c r="K22" s="358"/>
      <c r="L22" s="358"/>
    </row>
    <row r="23" spans="1:12" ht="15.75">
      <c r="A23" s="1002" t="s">
        <v>676</v>
      </c>
      <c r="B23" s="1003"/>
      <c r="C23" s="1003"/>
      <c r="D23" s="1003"/>
      <c r="E23" s="1003"/>
      <c r="F23" s="1004"/>
      <c r="G23" s="359"/>
      <c r="H23" s="360"/>
      <c r="I23" s="360"/>
      <c r="J23" s="360"/>
      <c r="K23" s="360"/>
      <c r="L23" s="360"/>
    </row>
    <row r="24" spans="1:12" ht="39" customHeight="1">
      <c r="A24" s="1005" t="s">
        <v>1188</v>
      </c>
      <c r="B24" s="1006"/>
      <c r="C24" s="1006"/>
      <c r="D24" s="1006"/>
      <c r="E24" s="1006"/>
      <c r="F24" s="1006"/>
      <c r="G24" s="343" t="s">
        <v>1187</v>
      </c>
      <c r="H24" s="356"/>
      <c r="I24" s="356"/>
      <c r="J24" s="356"/>
      <c r="K24" s="356"/>
      <c r="L24" s="356"/>
    </row>
    <row r="25" spans="1:12" ht="15.75">
      <c r="A25" s="361"/>
      <c r="B25" s="355"/>
      <c r="C25" s="355"/>
      <c r="D25" s="355"/>
      <c r="E25" s="355"/>
      <c r="F25" s="355"/>
      <c r="G25" s="343"/>
      <c r="H25" s="356"/>
      <c r="I25" s="356"/>
      <c r="J25" s="356"/>
      <c r="K25" s="356"/>
      <c r="L25" s="356"/>
    </row>
    <row r="26" spans="1:12" ht="78.75">
      <c r="A26" s="362" t="s">
        <v>677</v>
      </c>
      <c r="B26" s="362" t="s">
        <v>678</v>
      </c>
      <c r="C26" s="362" t="s">
        <v>679</v>
      </c>
      <c r="D26" s="363" t="s">
        <v>680</v>
      </c>
      <c r="E26" s="364"/>
      <c r="F26" s="364"/>
      <c r="G26" s="364"/>
      <c r="H26" s="364"/>
      <c r="I26" s="364"/>
      <c r="J26" s="364"/>
      <c r="K26" s="364"/>
      <c r="L26" s="356"/>
    </row>
    <row r="27" spans="1:12" ht="15.75">
      <c r="A27" s="365" t="s">
        <v>681</v>
      </c>
      <c r="B27" s="365" t="s">
        <v>682</v>
      </c>
      <c r="C27" s="365" t="s">
        <v>683</v>
      </c>
      <c r="D27" s="366" t="s">
        <v>684</v>
      </c>
      <c r="E27" s="364"/>
      <c r="F27" s="364"/>
      <c r="G27" s="364"/>
      <c r="H27" s="364"/>
      <c r="I27" s="364"/>
      <c r="J27" s="364"/>
      <c r="K27" s="364"/>
      <c r="L27" s="367"/>
    </row>
    <row r="28" spans="1:12" ht="15.75">
      <c r="A28" s="368">
        <f>B28-C28-D28</f>
        <v>2920</v>
      </c>
      <c r="B28" s="369">
        <v>2920</v>
      </c>
      <c r="C28" s="370">
        <v>0</v>
      </c>
      <c r="D28" s="369">
        <v>0</v>
      </c>
      <c r="E28" s="992"/>
      <c r="F28" s="993"/>
      <c r="G28" s="993"/>
      <c r="H28" s="993"/>
      <c r="I28" s="993"/>
      <c r="J28" s="993"/>
      <c r="K28" s="993"/>
      <c r="L28" s="344"/>
    </row>
    <row r="29" spans="1:12" ht="15.75">
      <c r="A29" s="355"/>
      <c r="B29" s="355"/>
      <c r="C29" s="353"/>
      <c r="D29" s="371"/>
      <c r="E29" s="364"/>
      <c r="F29" s="364"/>
      <c r="G29" s="364"/>
      <c r="H29" s="364"/>
      <c r="I29" s="364"/>
      <c r="J29" s="364"/>
      <c r="K29" s="364"/>
      <c r="L29" s="372"/>
    </row>
    <row r="30" spans="1:12" ht="126">
      <c r="A30" s="362" t="s">
        <v>685</v>
      </c>
      <c r="B30" s="362" t="s">
        <v>686</v>
      </c>
      <c r="C30" s="362" t="s">
        <v>687</v>
      </c>
      <c r="D30" s="363" t="s">
        <v>680</v>
      </c>
      <c r="E30" s="364"/>
      <c r="F30" s="364"/>
      <c r="G30" s="364"/>
      <c r="H30" s="364"/>
      <c r="I30" s="364"/>
      <c r="J30" s="364"/>
      <c r="K30" s="364"/>
      <c r="L30" s="356"/>
    </row>
    <row r="31" spans="1:12" ht="15.75">
      <c r="A31" s="365" t="s">
        <v>681</v>
      </c>
      <c r="B31" s="365" t="s">
        <v>682</v>
      </c>
      <c r="C31" s="365" t="s">
        <v>683</v>
      </c>
      <c r="D31" s="365" t="s">
        <v>684</v>
      </c>
      <c r="E31" s="364"/>
      <c r="F31" s="364"/>
      <c r="G31" s="364"/>
      <c r="H31" s="364"/>
      <c r="I31" s="364"/>
      <c r="J31" s="364"/>
      <c r="K31" s="364"/>
      <c r="L31" s="367"/>
    </row>
    <row r="32" spans="1:12" ht="15.75">
      <c r="A32" s="373">
        <f>B32-C32-D32</f>
        <v>1216</v>
      </c>
      <c r="B32" s="374">
        <v>1216</v>
      </c>
      <c r="C32" s="374">
        <v>0</v>
      </c>
      <c r="D32" s="374">
        <v>0</v>
      </c>
      <c r="E32" s="364"/>
      <c r="F32" s="364"/>
      <c r="G32" s="364"/>
      <c r="H32" s="364"/>
      <c r="I32" s="364"/>
      <c r="J32" s="364"/>
      <c r="K32" s="364"/>
      <c r="L32" s="344"/>
    </row>
    <row r="33" spans="1:12" ht="15.75">
      <c r="A33" s="375"/>
      <c r="B33" s="355"/>
      <c r="C33" s="355"/>
      <c r="D33" s="355"/>
      <c r="E33" s="355"/>
      <c r="F33" s="355"/>
      <c r="G33" s="343"/>
      <c r="H33" s="344"/>
      <c r="I33" s="344"/>
      <c r="J33" s="344"/>
      <c r="K33" s="344"/>
      <c r="L33" s="344"/>
    </row>
    <row r="34" spans="1:12" ht="78.75">
      <c r="A34" s="376" t="s">
        <v>2</v>
      </c>
      <c r="B34" s="376" t="s">
        <v>688</v>
      </c>
      <c r="C34" s="376" t="s">
        <v>689</v>
      </c>
      <c r="D34" s="376" t="s">
        <v>690</v>
      </c>
      <c r="E34" s="376" t="s">
        <v>691</v>
      </c>
      <c r="F34" s="376" t="s">
        <v>692</v>
      </c>
      <c r="G34" s="356"/>
      <c r="H34" s="344"/>
      <c r="I34" s="344"/>
      <c r="J34" s="344"/>
      <c r="K34" s="344"/>
      <c r="L34" s="344"/>
    </row>
    <row r="35" spans="1:12" ht="15.75">
      <c r="A35" s="348" t="s">
        <v>693</v>
      </c>
      <c r="B35" s="347">
        <f>E16</f>
        <v>8</v>
      </c>
      <c r="C35" s="347">
        <f>ROUND(E35/B35,0)</f>
        <v>365</v>
      </c>
      <c r="D35" s="377">
        <v>146.77</v>
      </c>
      <c r="E35" s="369">
        <f>A28</f>
        <v>2920</v>
      </c>
      <c r="F35" s="378">
        <f>ROUND(D35*E35,2)</f>
        <v>428568.4</v>
      </c>
      <c r="G35" s="344"/>
      <c r="H35" s="344"/>
      <c r="I35" s="344"/>
      <c r="J35" s="344"/>
      <c r="K35" s="344"/>
      <c r="L35" s="344"/>
    </row>
    <row r="36" spans="1:12" ht="78.75">
      <c r="A36" s="348" t="s">
        <v>694</v>
      </c>
      <c r="B36" s="347">
        <f>E16</f>
        <v>8</v>
      </c>
      <c r="C36" s="347">
        <f>ROUND(E36/B36,0)</f>
        <v>152</v>
      </c>
      <c r="D36" s="377">
        <v>14.68</v>
      </c>
      <c r="E36" s="374">
        <f>A32</f>
        <v>1216</v>
      </c>
      <c r="F36" s="378">
        <f>ROUND(D36*E36,2)</f>
        <v>17850.88</v>
      </c>
      <c r="G36" s="344"/>
      <c r="H36" s="344"/>
      <c r="I36" s="344"/>
      <c r="J36" s="344"/>
      <c r="K36" s="344"/>
      <c r="L36" s="344"/>
    </row>
    <row r="37" spans="1:12" ht="15.75">
      <c r="A37" s="379" t="s">
        <v>695</v>
      </c>
      <c r="B37" s="347"/>
      <c r="C37" s="347"/>
      <c r="D37" s="347"/>
      <c r="E37" s="347"/>
      <c r="F37" s="380">
        <f>F35+F36</f>
        <v>446419.28</v>
      </c>
      <c r="G37" s="344"/>
      <c r="H37" s="344"/>
      <c r="I37" s="344"/>
      <c r="J37" s="344"/>
      <c r="K37" s="344"/>
      <c r="L37" s="344"/>
    </row>
    <row r="38" spans="1:12" ht="15.75">
      <c r="A38" s="994"/>
      <c r="B38" s="994"/>
      <c r="C38" s="994"/>
      <c r="D38" s="341"/>
      <c r="E38" s="341"/>
      <c r="F38" s="341"/>
      <c r="G38" s="344"/>
      <c r="H38" s="344"/>
      <c r="I38" s="344"/>
      <c r="J38" s="344"/>
      <c r="K38" s="344"/>
      <c r="L38" s="344"/>
    </row>
    <row r="39" spans="1:12" ht="31.5">
      <c r="A39" s="381" t="s">
        <v>569</v>
      </c>
      <c r="B39" s="382"/>
      <c r="C39" s="341"/>
      <c r="D39" s="341"/>
      <c r="E39" s="349" t="s">
        <v>570</v>
      </c>
      <c r="F39" s="341"/>
      <c r="G39" s="344"/>
      <c r="H39" s="344"/>
      <c r="I39" s="344"/>
      <c r="J39" s="344"/>
      <c r="K39" s="344"/>
      <c r="L39" s="344"/>
    </row>
  </sheetData>
  <sheetProtection/>
  <mergeCells count="20">
    <mergeCell ref="E28:K28"/>
    <mergeCell ref="A38:C38"/>
    <mergeCell ref="C19:F19"/>
    <mergeCell ref="A20:F20"/>
    <mergeCell ref="A21:F21"/>
    <mergeCell ref="A22:F22"/>
    <mergeCell ref="A23:F23"/>
    <mergeCell ref="A24:F24"/>
    <mergeCell ref="A16:B16"/>
    <mergeCell ref="C16:D16"/>
    <mergeCell ref="E16:E17"/>
    <mergeCell ref="C17:D17"/>
    <mergeCell ref="G17:L17"/>
    <mergeCell ref="C18:F18"/>
    <mergeCell ref="A1:F1"/>
    <mergeCell ref="A2:F2"/>
    <mergeCell ref="A3:F3"/>
    <mergeCell ref="B4:E4"/>
    <mergeCell ref="A14:B14"/>
    <mergeCell ref="A15:B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1"/>
  <sheetViews>
    <sheetView zoomScalePageLayoutView="0" workbookViewId="0" topLeftCell="A37">
      <selection activeCell="F38" sqref="F38"/>
    </sheetView>
  </sheetViews>
  <sheetFormatPr defaultColWidth="9.00390625" defaultRowHeight="12.75"/>
  <cols>
    <col min="1" max="1" width="19.25390625" style="0" customWidth="1"/>
    <col min="2" max="2" width="18.375" style="0" customWidth="1"/>
    <col min="3" max="3" width="14.875" style="0" customWidth="1"/>
    <col min="4" max="4" width="16.00390625" style="0" customWidth="1"/>
    <col min="6" max="6" width="15.25390625" style="0" customWidth="1"/>
  </cols>
  <sheetData>
    <row r="1" spans="1:7" ht="16.5">
      <c r="A1" s="977" t="s">
        <v>655</v>
      </c>
      <c r="B1" s="977"/>
      <c r="C1" s="977"/>
      <c r="D1" s="977"/>
      <c r="E1" s="977"/>
      <c r="F1" s="977"/>
      <c r="G1" s="341"/>
    </row>
    <row r="2" spans="1:7" ht="15.75">
      <c r="A2" s="977" t="s">
        <v>656</v>
      </c>
      <c r="B2" s="977"/>
      <c r="C2" s="977"/>
      <c r="D2" s="977"/>
      <c r="E2" s="977"/>
      <c r="F2" s="977"/>
      <c r="G2" s="341"/>
    </row>
    <row r="3" spans="1:7" ht="15.75">
      <c r="A3" s="978" t="s">
        <v>657</v>
      </c>
      <c r="B3" s="978"/>
      <c r="C3" s="978"/>
      <c r="D3" s="978"/>
      <c r="E3" s="978"/>
      <c r="F3" s="978"/>
      <c r="G3" s="341"/>
    </row>
    <row r="4" spans="1:7" ht="15.75">
      <c r="A4" s="342"/>
      <c r="B4" s="979" t="s">
        <v>696</v>
      </c>
      <c r="C4" s="979"/>
      <c r="D4" s="979"/>
      <c r="E4" s="342"/>
      <c r="F4" s="342"/>
      <c r="G4" s="341"/>
    </row>
    <row r="5" spans="1:7" ht="15.75">
      <c r="A5" s="342"/>
      <c r="B5" s="533"/>
      <c r="C5" s="533" t="s">
        <v>904</v>
      </c>
      <c r="D5" s="533"/>
      <c r="E5" s="342"/>
      <c r="F5" s="342"/>
      <c r="G5" s="341"/>
    </row>
    <row r="6" spans="1:7" ht="15.75">
      <c r="A6" s="343" t="s">
        <v>659</v>
      </c>
      <c r="B6" s="343"/>
      <c r="C6" s="343"/>
      <c r="D6" s="343"/>
      <c r="E6" s="343"/>
      <c r="F6" s="343"/>
      <c r="G6" s="344"/>
    </row>
    <row r="7" spans="1:7" ht="12.75">
      <c r="A7" s="345" t="s">
        <v>660</v>
      </c>
      <c r="B7" s="345"/>
      <c r="C7" s="345"/>
      <c r="D7" s="345"/>
      <c r="E7" s="345"/>
      <c r="F7" s="345"/>
      <c r="G7" s="345"/>
    </row>
    <row r="8" spans="1:7" ht="12.75">
      <c r="A8" s="345" t="s">
        <v>661</v>
      </c>
      <c r="B8" s="345"/>
      <c r="C8" s="345"/>
      <c r="D8" s="345"/>
      <c r="E8" s="345"/>
      <c r="F8" s="345"/>
      <c r="G8" s="345"/>
    </row>
    <row r="9" spans="1:7" ht="12.75">
      <c r="A9" s="345" t="s">
        <v>662</v>
      </c>
      <c r="B9" s="345"/>
      <c r="C9" s="345"/>
      <c r="D9" s="345"/>
      <c r="E9" s="345"/>
      <c r="F9" s="345"/>
      <c r="G9" s="345"/>
    </row>
    <row r="10" spans="1:7" ht="12.75">
      <c r="A10" s="345" t="s">
        <v>663</v>
      </c>
      <c r="B10" s="345"/>
      <c r="C10" s="345"/>
      <c r="D10" s="345"/>
      <c r="E10" s="345"/>
      <c r="F10" s="345"/>
      <c r="G10" s="345"/>
    </row>
    <row r="11" spans="1:7" ht="12.75">
      <c r="A11" s="345" t="s">
        <v>664</v>
      </c>
      <c r="B11" s="345"/>
      <c r="C11" s="345"/>
      <c r="D11" s="345"/>
      <c r="E11" s="345"/>
      <c r="F11" s="345"/>
      <c r="G11" s="345"/>
    </row>
    <row r="12" spans="1:7" ht="12.75">
      <c r="A12" s="345" t="s">
        <v>665</v>
      </c>
      <c r="B12" s="345"/>
      <c r="C12" s="345"/>
      <c r="D12" s="345"/>
      <c r="E12" s="345"/>
      <c r="F12" s="345"/>
      <c r="G12" s="345"/>
    </row>
    <row r="13" spans="1:7" ht="12.75">
      <c r="A13" s="344"/>
      <c r="B13" s="344"/>
      <c r="C13" s="344"/>
      <c r="D13" s="344"/>
      <c r="E13" s="344"/>
      <c r="F13" s="344"/>
      <c r="G13" s="344"/>
    </row>
    <row r="14" spans="1:7" ht="15.75">
      <c r="A14" s="980" t="s">
        <v>666</v>
      </c>
      <c r="B14" s="980"/>
      <c r="C14" s="346">
        <v>2014</v>
      </c>
      <c r="D14" s="346">
        <v>2015</v>
      </c>
      <c r="E14" s="347">
        <v>2016</v>
      </c>
      <c r="F14" s="347">
        <v>2017</v>
      </c>
      <c r="G14" s="344"/>
    </row>
    <row r="15" spans="1:7" ht="15.75">
      <c r="A15" s="981" t="s">
        <v>667</v>
      </c>
      <c r="B15" s="981"/>
      <c r="C15" s="346">
        <v>365</v>
      </c>
      <c r="D15" s="346">
        <v>365</v>
      </c>
      <c r="E15" s="347">
        <v>366</v>
      </c>
      <c r="F15" s="347">
        <v>365</v>
      </c>
      <c r="G15" s="349"/>
    </row>
    <row r="16" spans="1:7" ht="15.75">
      <c r="A16" s="982" t="s">
        <v>668</v>
      </c>
      <c r="B16" s="983"/>
      <c r="C16" s="1007" t="s">
        <v>697</v>
      </c>
      <c r="D16" s="1007"/>
      <c r="E16" s="985">
        <v>32</v>
      </c>
      <c r="F16" s="350"/>
      <c r="G16" s="351"/>
    </row>
    <row r="17" spans="1:7" ht="15.75">
      <c r="A17" s="352"/>
      <c r="B17" s="353"/>
      <c r="C17" s="1008" t="s">
        <v>670</v>
      </c>
      <c r="D17" s="1008"/>
      <c r="E17" s="986"/>
      <c r="F17" s="350"/>
      <c r="G17" s="344"/>
    </row>
    <row r="18" spans="1:7" ht="15.75">
      <c r="A18" s="352"/>
      <c r="B18" s="353"/>
      <c r="C18" s="990" t="s">
        <v>698</v>
      </c>
      <c r="D18" s="990"/>
      <c r="E18" s="990"/>
      <c r="F18" s="991"/>
      <c r="G18" s="344"/>
    </row>
    <row r="19" spans="1:7" ht="15.75">
      <c r="A19" s="352"/>
      <c r="B19" s="353"/>
      <c r="C19" s="990" t="s">
        <v>699</v>
      </c>
      <c r="D19" s="990"/>
      <c r="E19" s="990"/>
      <c r="F19" s="991"/>
      <c r="G19" s="343"/>
    </row>
    <row r="20" spans="1:7" ht="15.75">
      <c r="A20" s="995" t="s">
        <v>700</v>
      </c>
      <c r="B20" s="996"/>
      <c r="C20" s="996"/>
      <c r="D20" s="996"/>
      <c r="E20" s="996"/>
      <c r="F20" s="997"/>
      <c r="G20" s="343"/>
    </row>
    <row r="21" spans="1:7" ht="33" customHeight="1">
      <c r="A21" s="1002" t="s">
        <v>701</v>
      </c>
      <c r="B21" s="1003"/>
      <c r="C21" s="1003"/>
      <c r="D21" s="1000"/>
      <c r="E21" s="1000"/>
      <c r="F21" s="1001"/>
      <c r="G21" s="343"/>
    </row>
    <row r="22" spans="1:9" ht="15.75">
      <c r="A22" s="1011" t="s">
        <v>1194</v>
      </c>
      <c r="B22" s="1012"/>
      <c r="C22" s="1012"/>
      <c r="D22" s="1012"/>
      <c r="E22" s="1012"/>
      <c r="F22" s="1013"/>
      <c r="G22" s="787">
        <v>624</v>
      </c>
      <c r="H22" s="788"/>
      <c r="I22" s="789" t="s">
        <v>1186</v>
      </c>
    </row>
    <row r="23" spans="1:8" ht="15.75" customHeight="1">
      <c r="A23" s="1014" t="s">
        <v>1195</v>
      </c>
      <c r="B23" s="1015"/>
      <c r="C23" s="1015"/>
      <c r="D23" s="1015"/>
      <c r="E23" s="1015"/>
      <c r="F23" s="1016"/>
      <c r="G23" s="787">
        <v>504</v>
      </c>
      <c r="H23" s="788"/>
    </row>
    <row r="24" spans="1:8" ht="36.75" customHeight="1">
      <c r="A24" s="1005" t="s">
        <v>1189</v>
      </c>
      <c r="B24" s="1006"/>
      <c r="C24" s="1006"/>
      <c r="D24" s="1006"/>
      <c r="E24" s="1006"/>
      <c r="F24" s="1006"/>
      <c r="G24" s="787" t="s">
        <v>1153</v>
      </c>
      <c r="H24" s="788">
        <v>399</v>
      </c>
    </row>
    <row r="25" spans="1:7" ht="15.75">
      <c r="A25" s="1017"/>
      <c r="B25" s="1017"/>
      <c r="C25" s="1017"/>
      <c r="D25" s="1017"/>
      <c r="E25" s="1017"/>
      <c r="F25" s="1017"/>
      <c r="G25" s="359"/>
    </row>
    <row r="26" spans="1:7" ht="15.75">
      <c r="A26" s="383"/>
      <c r="B26" s="384"/>
      <c r="C26" s="384"/>
      <c r="D26" s="384"/>
      <c r="E26" s="385"/>
      <c r="F26" s="385"/>
      <c r="G26" s="385"/>
    </row>
    <row r="27" spans="1:7" ht="15.75">
      <c r="A27" s="354"/>
      <c r="B27" s="384"/>
      <c r="C27" s="384"/>
      <c r="D27" s="384"/>
      <c r="E27" s="385"/>
      <c r="F27" s="385"/>
      <c r="G27" s="385"/>
    </row>
    <row r="28" spans="1:7" ht="78.75">
      <c r="A28" s="362" t="s">
        <v>677</v>
      </c>
      <c r="B28" s="362" t="s">
        <v>678</v>
      </c>
      <c r="C28" s="362" t="s">
        <v>679</v>
      </c>
      <c r="D28" s="363" t="s">
        <v>680</v>
      </c>
      <c r="E28" s="385"/>
      <c r="F28" s="385"/>
      <c r="G28" s="385"/>
    </row>
    <row r="29" spans="1:7" ht="15.75">
      <c r="A29" s="365" t="s">
        <v>681</v>
      </c>
      <c r="B29" s="365" t="s">
        <v>682</v>
      </c>
      <c r="C29" s="365" t="s">
        <v>683</v>
      </c>
      <c r="D29" s="366" t="s">
        <v>684</v>
      </c>
      <c r="E29" s="385"/>
      <c r="F29" s="385"/>
      <c r="G29" s="385"/>
    </row>
    <row r="30" spans="1:7" ht="15.75">
      <c r="A30" s="368">
        <f>B30-C30-D30</f>
        <v>10657</v>
      </c>
      <c r="B30" s="374">
        <v>11680</v>
      </c>
      <c r="C30" s="370">
        <v>624</v>
      </c>
      <c r="D30" s="369">
        <v>399</v>
      </c>
      <c r="E30" s="385"/>
      <c r="F30" s="385"/>
      <c r="G30" s="385"/>
    </row>
    <row r="31" spans="1:7" ht="15.75">
      <c r="A31" s="355"/>
      <c r="B31" s="355"/>
      <c r="C31" s="353"/>
      <c r="D31" s="371"/>
      <c r="E31" s="385"/>
      <c r="F31" s="385"/>
      <c r="G31" s="385"/>
    </row>
    <row r="32" spans="1:7" ht="141.75">
      <c r="A32" s="362" t="s">
        <v>685</v>
      </c>
      <c r="B32" s="362" t="s">
        <v>686</v>
      </c>
      <c r="C32" s="362" t="s">
        <v>687</v>
      </c>
      <c r="D32" s="363" t="s">
        <v>680</v>
      </c>
      <c r="E32" s="385"/>
      <c r="F32" s="385"/>
      <c r="G32" s="385"/>
    </row>
    <row r="33" spans="1:7" ht="15.75">
      <c r="A33" s="365" t="s">
        <v>681</v>
      </c>
      <c r="B33" s="365" t="s">
        <v>682</v>
      </c>
      <c r="C33" s="365" t="s">
        <v>683</v>
      </c>
      <c r="D33" s="365" t="s">
        <v>684</v>
      </c>
      <c r="E33" s="385"/>
      <c r="F33" s="385"/>
      <c r="G33" s="385"/>
    </row>
    <row r="34" spans="1:7" ht="15.75">
      <c r="A34" s="373">
        <f>B34-C34-D34</f>
        <v>3961</v>
      </c>
      <c r="B34" s="374">
        <v>4864</v>
      </c>
      <c r="C34" s="795">
        <v>504</v>
      </c>
      <c r="D34" s="369">
        <v>399</v>
      </c>
      <c r="E34" s="385"/>
      <c r="F34" s="385"/>
      <c r="G34" s="385"/>
    </row>
    <row r="35" spans="1:7" ht="15.75">
      <c r="A35" s="375"/>
      <c r="B35" s="355"/>
      <c r="C35" s="355"/>
      <c r="D35" s="355"/>
      <c r="E35" s="355"/>
      <c r="F35" s="355"/>
      <c r="G35" s="343"/>
    </row>
    <row r="36" spans="1:7" ht="78.75">
      <c r="A36" s="376" t="s">
        <v>2</v>
      </c>
      <c r="B36" s="376" t="s">
        <v>688</v>
      </c>
      <c r="C36" s="376" t="s">
        <v>702</v>
      </c>
      <c r="D36" s="376" t="s">
        <v>703</v>
      </c>
      <c r="E36" s="376" t="s">
        <v>691</v>
      </c>
      <c r="F36" s="376" t="s">
        <v>692</v>
      </c>
      <c r="G36" s="356"/>
    </row>
    <row r="37" spans="1:7" ht="15.75">
      <c r="A37" s="348" t="s">
        <v>693</v>
      </c>
      <c r="B37" s="347">
        <v>32</v>
      </c>
      <c r="C37" s="347">
        <f>ROUND(E37/B37,0)</f>
        <v>333</v>
      </c>
      <c r="D37" s="377">
        <v>229.12</v>
      </c>
      <c r="E37" s="369">
        <f>A30</f>
        <v>10657</v>
      </c>
      <c r="F37" s="378">
        <f>ROUND(D37*E37,2)</f>
        <v>2441731.84</v>
      </c>
      <c r="G37" s="344"/>
    </row>
    <row r="38" spans="1:7" ht="47.25">
      <c r="A38" s="348" t="s">
        <v>694</v>
      </c>
      <c r="B38" s="347">
        <v>32</v>
      </c>
      <c r="C38" s="347">
        <f>ROUND(E38/B38,0)</f>
        <v>124</v>
      </c>
      <c r="D38" s="377">
        <f>D37*10%</f>
        <v>22.912000000000003</v>
      </c>
      <c r="E38" s="374">
        <f>A34</f>
        <v>3961</v>
      </c>
      <c r="F38" s="386">
        <f>ROUND(D38*E38,2)</f>
        <v>90754.43</v>
      </c>
      <c r="G38" s="344"/>
    </row>
    <row r="39" spans="1:7" ht="15.75">
      <c r="A39" s="379" t="s">
        <v>695</v>
      </c>
      <c r="B39" s="347"/>
      <c r="C39" s="347"/>
      <c r="D39" s="347"/>
      <c r="E39" s="347"/>
      <c r="F39" s="387">
        <f>F37+F38</f>
        <v>2532486.27</v>
      </c>
      <c r="G39" s="344"/>
    </row>
    <row r="40" spans="1:7" ht="15.75">
      <c r="A40" s="1009"/>
      <c r="B40" s="1009"/>
      <c r="C40" s="1009"/>
      <c r="D40" s="341"/>
      <c r="E40" s="341"/>
      <c r="F40" s="341"/>
      <c r="G40" s="344"/>
    </row>
    <row r="41" spans="1:7" ht="15.75">
      <c r="A41" s="381" t="s">
        <v>569</v>
      </c>
      <c r="B41" s="382"/>
      <c r="C41" s="341"/>
      <c r="D41" s="341"/>
      <c r="E41" s="341"/>
      <c r="F41" s="1010" t="s">
        <v>570</v>
      </c>
      <c r="G41" s="1010"/>
    </row>
  </sheetData>
  <sheetProtection/>
  <mergeCells count="20">
    <mergeCell ref="A40:C40"/>
    <mergeCell ref="F41:G41"/>
    <mergeCell ref="A20:F20"/>
    <mergeCell ref="A21:F21"/>
    <mergeCell ref="A22:F22"/>
    <mergeCell ref="A23:F23"/>
    <mergeCell ref="A24:F24"/>
    <mergeCell ref="A25:F25"/>
    <mergeCell ref="A16:B16"/>
    <mergeCell ref="C16:D16"/>
    <mergeCell ref="E16:E17"/>
    <mergeCell ref="C17:D17"/>
    <mergeCell ref="C18:F18"/>
    <mergeCell ref="C19:F19"/>
    <mergeCell ref="A1:F1"/>
    <mergeCell ref="A2:F2"/>
    <mergeCell ref="A3:F3"/>
    <mergeCell ref="B4:D4"/>
    <mergeCell ref="A14:B14"/>
    <mergeCell ref="A15:B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F17"/>
  <sheetViews>
    <sheetView zoomScalePageLayoutView="0" workbookViewId="0" topLeftCell="A10">
      <selection activeCell="A14" sqref="A14:IV14"/>
    </sheetView>
  </sheetViews>
  <sheetFormatPr defaultColWidth="9.00390625" defaultRowHeight="12.75"/>
  <cols>
    <col min="2" max="2" width="19.875" style="0" customWidth="1"/>
    <col min="6" max="6" width="12.75390625" style="0" customWidth="1"/>
  </cols>
  <sheetData>
    <row r="4" spans="1:6" ht="15.75">
      <c r="A4" s="339"/>
      <c r="B4" s="1018" t="s">
        <v>813</v>
      </c>
      <c r="C4" s="1019"/>
      <c r="D4" s="1019"/>
      <c r="E4" s="1019"/>
      <c r="F4" s="1020"/>
    </row>
    <row r="5" spans="1:6" ht="48">
      <c r="A5" s="339">
        <f aca="true" t="shared" si="0" ref="A5:A14">A4+1</f>
        <v>1</v>
      </c>
      <c r="B5" s="463" t="s">
        <v>814</v>
      </c>
      <c r="C5" s="465" t="s">
        <v>749</v>
      </c>
      <c r="D5" s="466">
        <v>15</v>
      </c>
      <c r="E5" s="466">
        <v>231</v>
      </c>
      <c r="F5" s="466">
        <f>D5*E5</f>
        <v>3465</v>
      </c>
    </row>
    <row r="6" spans="1:6" ht="48">
      <c r="A6" s="339">
        <f t="shared" si="0"/>
        <v>2</v>
      </c>
      <c r="B6" s="463" t="s">
        <v>815</v>
      </c>
      <c r="C6" s="465" t="s">
        <v>749</v>
      </c>
      <c r="D6" s="466">
        <v>15</v>
      </c>
      <c r="E6" s="466">
        <v>205</v>
      </c>
      <c r="F6" s="466">
        <f>D6*E6</f>
        <v>3075</v>
      </c>
    </row>
    <row r="7" spans="1:6" ht="48">
      <c r="A7" s="339">
        <f t="shared" si="0"/>
        <v>3</v>
      </c>
      <c r="B7" s="463" t="s">
        <v>816</v>
      </c>
      <c r="C7" s="465" t="s">
        <v>749</v>
      </c>
      <c r="D7" s="466">
        <v>100</v>
      </c>
      <c r="E7" s="466">
        <v>33</v>
      </c>
      <c r="F7" s="466">
        <f>D7*E7</f>
        <v>3300</v>
      </c>
    </row>
    <row r="8" spans="1:6" ht="48">
      <c r="A8" s="339">
        <f t="shared" si="0"/>
        <v>4</v>
      </c>
      <c r="B8" s="463" t="s">
        <v>817</v>
      </c>
      <c r="C8" s="465" t="s">
        <v>749</v>
      </c>
      <c r="D8" s="466">
        <v>5</v>
      </c>
      <c r="E8" s="466">
        <v>165</v>
      </c>
      <c r="F8" s="466">
        <f>D8*E8</f>
        <v>825</v>
      </c>
    </row>
    <row r="9" spans="1:6" ht="63.75">
      <c r="A9" s="339">
        <v>5</v>
      </c>
      <c r="B9" s="463" t="s">
        <v>818</v>
      </c>
      <c r="C9" s="465" t="s">
        <v>749</v>
      </c>
      <c r="D9" s="466">
        <v>5</v>
      </c>
      <c r="E9" s="466">
        <v>383</v>
      </c>
      <c r="F9" s="466">
        <f>D9*E9</f>
        <v>1915</v>
      </c>
    </row>
    <row r="10" spans="1:6" ht="63.75">
      <c r="A10" s="339">
        <f t="shared" si="0"/>
        <v>6</v>
      </c>
      <c r="B10" s="463" t="s">
        <v>819</v>
      </c>
      <c r="C10" s="465" t="s">
        <v>749</v>
      </c>
      <c r="D10" s="466">
        <v>50</v>
      </c>
      <c r="E10" s="466">
        <v>19</v>
      </c>
      <c r="F10" s="466">
        <f aca="true" t="shared" si="1" ref="F10:F15">D10*E10</f>
        <v>950</v>
      </c>
    </row>
    <row r="11" spans="1:6" ht="63.75">
      <c r="A11" s="339">
        <f t="shared" si="0"/>
        <v>7</v>
      </c>
      <c r="B11" s="463" t="s">
        <v>820</v>
      </c>
      <c r="C11" s="465" t="s">
        <v>749</v>
      </c>
      <c r="D11" s="466">
        <v>50</v>
      </c>
      <c r="E11" s="466">
        <v>26</v>
      </c>
      <c r="F11" s="466">
        <f t="shared" si="1"/>
        <v>1300</v>
      </c>
    </row>
    <row r="12" spans="1:6" ht="48">
      <c r="A12" s="339">
        <v>9</v>
      </c>
      <c r="B12" s="463" t="s">
        <v>821</v>
      </c>
      <c r="C12" s="465" t="s">
        <v>749</v>
      </c>
      <c r="D12" s="466">
        <v>3</v>
      </c>
      <c r="E12" s="466">
        <v>124</v>
      </c>
      <c r="F12" s="466">
        <f t="shared" si="1"/>
        <v>372</v>
      </c>
    </row>
    <row r="13" spans="1:6" ht="32.25">
      <c r="A13" s="339">
        <f t="shared" si="0"/>
        <v>10</v>
      </c>
      <c r="B13" s="463" t="s">
        <v>822</v>
      </c>
      <c r="C13" s="465" t="s">
        <v>749</v>
      </c>
      <c r="D13" s="466">
        <v>100</v>
      </c>
      <c r="E13" s="466">
        <v>1.6</v>
      </c>
      <c r="F13" s="466">
        <f t="shared" si="1"/>
        <v>160</v>
      </c>
    </row>
    <row r="14" spans="1:6" ht="32.25">
      <c r="A14" s="339">
        <f t="shared" si="0"/>
        <v>11</v>
      </c>
      <c r="B14" s="463" t="s">
        <v>823</v>
      </c>
      <c r="C14" s="465" t="s">
        <v>749</v>
      </c>
      <c r="D14" s="466">
        <v>100</v>
      </c>
      <c r="E14" s="466">
        <v>0.55</v>
      </c>
      <c r="F14" s="466">
        <f t="shared" si="1"/>
        <v>55.00000000000001</v>
      </c>
    </row>
    <row r="15" spans="1:6" ht="32.25">
      <c r="A15" s="339">
        <v>12</v>
      </c>
      <c r="B15" s="467" t="s">
        <v>824</v>
      </c>
      <c r="C15" s="468" t="s">
        <v>749</v>
      </c>
      <c r="D15" s="469">
        <v>45</v>
      </c>
      <c r="E15" s="469">
        <v>26</v>
      </c>
      <c r="F15" s="469">
        <f t="shared" si="1"/>
        <v>1170</v>
      </c>
    </row>
    <row r="16" spans="1:6" ht="18.75">
      <c r="A16" s="339"/>
      <c r="B16" s="470"/>
      <c r="C16" s="471"/>
      <c r="D16" s="472"/>
      <c r="E16" s="473"/>
      <c r="F16" s="474"/>
    </row>
    <row r="17" spans="1:6" ht="15.75">
      <c r="A17" s="339"/>
      <c r="B17" s="1021" t="s">
        <v>568</v>
      </c>
      <c r="C17" s="1022"/>
      <c r="D17" s="1022"/>
      <c r="E17" s="1023"/>
      <c r="F17" s="462">
        <f>SUM(F5:F16)</f>
        <v>16587</v>
      </c>
    </row>
  </sheetData>
  <sheetProtection/>
  <mergeCells count="2">
    <mergeCell ref="B4:F4"/>
    <mergeCell ref="B17:E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0"/>
  <sheetViews>
    <sheetView zoomScalePageLayoutView="0" workbookViewId="0" topLeftCell="A106">
      <selection activeCell="I15" sqref="I15"/>
    </sheetView>
  </sheetViews>
  <sheetFormatPr defaultColWidth="9.00390625" defaultRowHeight="12.75"/>
  <cols>
    <col min="1" max="1" width="4.375" style="336" bestFit="1" customWidth="1"/>
    <col min="2" max="2" width="43.125" style="336" customWidth="1"/>
    <col min="3" max="3" width="8.25390625" style="337" customWidth="1"/>
    <col min="4" max="4" width="9.125" style="337" customWidth="1"/>
    <col min="5" max="5" width="9.75390625" style="337" customWidth="1"/>
    <col min="6" max="6" width="13.00390625" style="337" customWidth="1"/>
    <col min="7" max="16384" width="9.125" style="336" customWidth="1"/>
  </cols>
  <sheetData>
    <row r="1" spans="1:6" ht="18.75">
      <c r="A1" s="862" t="s">
        <v>742</v>
      </c>
      <c r="B1" s="862"/>
      <c r="C1" s="862"/>
      <c r="D1" s="862"/>
      <c r="E1" s="862"/>
      <c r="F1" s="862"/>
    </row>
    <row r="2" spans="1:6" ht="15.75">
      <c r="A2" s="862" t="s">
        <v>656</v>
      </c>
      <c r="B2" s="862"/>
      <c r="C2" s="862"/>
      <c r="D2" s="862"/>
      <c r="E2" s="862"/>
      <c r="F2" s="862"/>
    </row>
    <row r="3" spans="1:6" ht="23.25" customHeight="1">
      <c r="A3" s="1024" t="s">
        <v>906</v>
      </c>
      <c r="B3" s="1024"/>
      <c r="C3" s="1024"/>
      <c r="D3" s="1024"/>
      <c r="E3" s="1024"/>
      <c r="F3" s="1024"/>
    </row>
    <row r="4" spans="1:6" ht="15.75">
      <c r="A4" s="1024" t="s">
        <v>907</v>
      </c>
      <c r="B4" s="1024"/>
      <c r="C4" s="1024"/>
      <c r="D4" s="1024"/>
      <c r="E4" s="1024"/>
      <c r="F4" s="1024"/>
    </row>
    <row r="5" spans="1:6" ht="15.75">
      <c r="A5" s="536"/>
      <c r="B5" s="1024" t="s">
        <v>904</v>
      </c>
      <c r="C5" s="1025"/>
      <c r="D5" s="1025"/>
      <c r="E5" s="536"/>
      <c r="F5" s="536"/>
    </row>
    <row r="6" spans="1:6" ht="15.75">
      <c r="A6" s="337"/>
      <c r="B6" s="458"/>
      <c r="C6"/>
      <c r="D6"/>
      <c r="E6" s="459"/>
      <c r="F6" s="459"/>
    </row>
    <row r="7" spans="1:6" s="532" customFormat="1" ht="31.5">
      <c r="A7" s="391" t="s">
        <v>305</v>
      </c>
      <c r="B7" s="391" t="s">
        <v>2</v>
      </c>
      <c r="C7" s="391" t="s">
        <v>908</v>
      </c>
      <c r="D7" s="391" t="s">
        <v>880</v>
      </c>
      <c r="E7" s="537" t="s">
        <v>833</v>
      </c>
      <c r="F7" s="537" t="s">
        <v>295</v>
      </c>
    </row>
    <row r="8" spans="1:6" ht="15.75">
      <c r="A8" s="339">
        <v>1</v>
      </c>
      <c r="B8" s="538" t="s">
        <v>909</v>
      </c>
      <c r="C8" s="539" t="s">
        <v>749</v>
      </c>
      <c r="D8" s="540">
        <v>1</v>
      </c>
      <c r="E8" s="541">
        <v>81.2</v>
      </c>
      <c r="F8" s="541">
        <f>D8*E8</f>
        <v>81.2</v>
      </c>
    </row>
    <row r="9" spans="1:6" ht="15.75">
      <c r="A9" s="339">
        <v>2</v>
      </c>
      <c r="B9" s="538" t="s">
        <v>910</v>
      </c>
      <c r="C9" s="539" t="s">
        <v>749</v>
      </c>
      <c r="D9" s="540">
        <v>5</v>
      </c>
      <c r="E9" s="541">
        <v>85</v>
      </c>
      <c r="F9" s="541">
        <f aca="true" t="shared" si="0" ref="F9:F72">D9*E9</f>
        <v>425</v>
      </c>
    </row>
    <row r="10" spans="1:6" ht="15.75">
      <c r="A10" s="339">
        <v>3</v>
      </c>
      <c r="B10" s="542" t="s">
        <v>911</v>
      </c>
      <c r="C10" s="539" t="s">
        <v>749</v>
      </c>
      <c r="D10" s="540">
        <v>2</v>
      </c>
      <c r="E10" s="541">
        <v>181</v>
      </c>
      <c r="F10" s="541">
        <f t="shared" si="0"/>
        <v>362</v>
      </c>
    </row>
    <row r="11" spans="1:6" ht="15.75">
      <c r="A11" s="339">
        <v>4</v>
      </c>
      <c r="B11" s="542" t="s">
        <v>912</v>
      </c>
      <c r="C11" s="539" t="s">
        <v>798</v>
      </c>
      <c r="D11" s="540">
        <v>2</v>
      </c>
      <c r="E11" s="541">
        <v>280</v>
      </c>
      <c r="F11" s="541">
        <f t="shared" si="0"/>
        <v>560</v>
      </c>
    </row>
    <row r="12" spans="1:6" ht="15.75">
      <c r="A12" s="339">
        <v>5</v>
      </c>
      <c r="B12" s="543" t="s">
        <v>913</v>
      </c>
      <c r="C12" s="544" t="s">
        <v>749</v>
      </c>
      <c r="D12" s="544">
        <v>5</v>
      </c>
      <c r="E12" s="545">
        <v>30</v>
      </c>
      <c r="F12" s="541">
        <f t="shared" si="0"/>
        <v>150</v>
      </c>
    </row>
    <row r="13" spans="1:6" ht="15.75">
      <c r="A13" s="339">
        <v>6</v>
      </c>
      <c r="B13" s="543" t="s">
        <v>914</v>
      </c>
      <c r="C13" s="544" t="s">
        <v>749</v>
      </c>
      <c r="D13" s="544">
        <v>15</v>
      </c>
      <c r="E13" s="545">
        <v>52</v>
      </c>
      <c r="F13" s="541">
        <f t="shared" si="0"/>
        <v>780</v>
      </c>
    </row>
    <row r="14" spans="1:6" ht="15.75">
      <c r="A14" s="339">
        <v>7</v>
      </c>
      <c r="B14" s="543" t="s">
        <v>915</v>
      </c>
      <c r="C14" s="544" t="s">
        <v>749</v>
      </c>
      <c r="D14" s="544">
        <v>5</v>
      </c>
      <c r="E14" s="545">
        <v>120</v>
      </c>
      <c r="F14" s="541">
        <f t="shared" si="0"/>
        <v>600</v>
      </c>
    </row>
    <row r="15" spans="1:6" ht="15.75">
      <c r="A15" s="339">
        <v>8</v>
      </c>
      <c r="B15" s="543" t="s">
        <v>916</v>
      </c>
      <c r="C15" s="546" t="s">
        <v>749</v>
      </c>
      <c r="D15" s="546">
        <v>1</v>
      </c>
      <c r="E15" s="547">
        <v>46.7</v>
      </c>
      <c r="F15" s="541">
        <f t="shared" si="0"/>
        <v>46.7</v>
      </c>
    </row>
    <row r="16" spans="1:6" ht="15.75">
      <c r="A16" s="339">
        <v>9</v>
      </c>
      <c r="B16" s="543" t="s">
        <v>917</v>
      </c>
      <c r="C16" s="544" t="s">
        <v>749</v>
      </c>
      <c r="D16" s="544">
        <v>10</v>
      </c>
      <c r="E16" s="545">
        <v>166.3</v>
      </c>
      <c r="F16" s="541">
        <f t="shared" si="0"/>
        <v>1663</v>
      </c>
    </row>
    <row r="17" spans="1:6" ht="15.75">
      <c r="A17" s="339">
        <v>10</v>
      </c>
      <c r="B17" s="543" t="s">
        <v>918</v>
      </c>
      <c r="C17" s="544" t="s">
        <v>749</v>
      </c>
      <c r="D17" s="544">
        <v>10</v>
      </c>
      <c r="E17" s="545">
        <v>23</v>
      </c>
      <c r="F17" s="541">
        <f t="shared" si="0"/>
        <v>230</v>
      </c>
    </row>
    <row r="18" spans="1:6" ht="15.75">
      <c r="A18" s="339">
        <v>11</v>
      </c>
      <c r="B18" s="543" t="s">
        <v>919</v>
      </c>
      <c r="C18" s="544" t="s">
        <v>920</v>
      </c>
      <c r="D18" s="544">
        <v>150</v>
      </c>
      <c r="E18" s="545">
        <v>4.2</v>
      </c>
      <c r="F18" s="541">
        <f t="shared" si="0"/>
        <v>630</v>
      </c>
    </row>
    <row r="19" spans="1:6" ht="15.75">
      <c r="A19" s="339">
        <v>12</v>
      </c>
      <c r="B19" s="543" t="s">
        <v>921</v>
      </c>
      <c r="C19" s="544" t="s">
        <v>749</v>
      </c>
      <c r="D19" s="544">
        <v>1</v>
      </c>
      <c r="E19" s="545">
        <v>229</v>
      </c>
      <c r="F19" s="541">
        <f t="shared" si="0"/>
        <v>229</v>
      </c>
    </row>
    <row r="20" spans="1:6" ht="15.75">
      <c r="A20" s="339">
        <v>13</v>
      </c>
      <c r="B20" s="543" t="s">
        <v>922</v>
      </c>
      <c r="C20" s="544" t="s">
        <v>749</v>
      </c>
      <c r="D20" s="544">
        <v>1</v>
      </c>
      <c r="E20" s="545">
        <v>250</v>
      </c>
      <c r="F20" s="541">
        <f t="shared" si="0"/>
        <v>250</v>
      </c>
    </row>
    <row r="21" spans="1:6" ht="15.75">
      <c r="A21" s="339">
        <v>14</v>
      </c>
      <c r="B21" s="543" t="s">
        <v>923</v>
      </c>
      <c r="C21" s="544" t="s">
        <v>749</v>
      </c>
      <c r="D21" s="544">
        <v>10</v>
      </c>
      <c r="E21" s="545">
        <v>23</v>
      </c>
      <c r="F21" s="541">
        <f t="shared" si="0"/>
        <v>230</v>
      </c>
    </row>
    <row r="22" spans="1:6" ht="15.75">
      <c r="A22" s="339">
        <v>15</v>
      </c>
      <c r="B22" s="543" t="s">
        <v>924</v>
      </c>
      <c r="C22" s="544" t="s">
        <v>749</v>
      </c>
      <c r="D22" s="544">
        <v>2</v>
      </c>
      <c r="E22" s="545">
        <v>370</v>
      </c>
      <c r="F22" s="541">
        <f t="shared" si="0"/>
        <v>740</v>
      </c>
    </row>
    <row r="23" spans="1:6" ht="15.75">
      <c r="A23" s="339">
        <v>16</v>
      </c>
      <c r="B23" s="543" t="s">
        <v>925</v>
      </c>
      <c r="C23" s="544" t="s">
        <v>749</v>
      </c>
      <c r="D23" s="544">
        <v>30</v>
      </c>
      <c r="E23" s="545">
        <v>40</v>
      </c>
      <c r="F23" s="541">
        <f t="shared" si="0"/>
        <v>1200</v>
      </c>
    </row>
    <row r="24" spans="1:6" ht="15.75">
      <c r="A24" s="339">
        <v>17</v>
      </c>
      <c r="B24" s="548" t="s">
        <v>926</v>
      </c>
      <c r="C24" s="544" t="s">
        <v>749</v>
      </c>
      <c r="D24" s="544">
        <v>2</v>
      </c>
      <c r="E24" s="545">
        <v>51.3</v>
      </c>
      <c r="F24" s="541">
        <f t="shared" si="0"/>
        <v>102.6</v>
      </c>
    </row>
    <row r="25" spans="1:6" ht="15.75">
      <c r="A25" s="339">
        <v>18</v>
      </c>
      <c r="B25" s="548" t="s">
        <v>927</v>
      </c>
      <c r="C25" s="544" t="s">
        <v>749</v>
      </c>
      <c r="D25" s="544">
        <v>1</v>
      </c>
      <c r="E25" s="545">
        <v>18.2</v>
      </c>
      <c r="F25" s="541">
        <f t="shared" si="0"/>
        <v>18.2</v>
      </c>
    </row>
    <row r="26" spans="1:6" ht="15.75">
      <c r="A26" s="339">
        <v>19</v>
      </c>
      <c r="B26" s="548" t="s">
        <v>928</v>
      </c>
      <c r="C26" s="544" t="s">
        <v>798</v>
      </c>
      <c r="D26" s="544">
        <v>1</v>
      </c>
      <c r="E26" s="545">
        <v>270.5</v>
      </c>
      <c r="F26" s="541">
        <f t="shared" si="0"/>
        <v>270.5</v>
      </c>
    </row>
    <row r="27" spans="1:6" ht="15.75">
      <c r="A27" s="339">
        <v>20</v>
      </c>
      <c r="B27" s="548" t="s">
        <v>929</v>
      </c>
      <c r="C27" s="544" t="s">
        <v>749</v>
      </c>
      <c r="D27" s="544">
        <v>3</v>
      </c>
      <c r="E27" s="545">
        <v>41.6</v>
      </c>
      <c r="F27" s="541">
        <f t="shared" si="0"/>
        <v>124.80000000000001</v>
      </c>
    </row>
    <row r="28" spans="1:6" ht="15.75">
      <c r="A28" s="339">
        <v>21</v>
      </c>
      <c r="B28" s="548" t="s">
        <v>930</v>
      </c>
      <c r="C28" s="544" t="s">
        <v>749</v>
      </c>
      <c r="D28" s="544">
        <v>5</v>
      </c>
      <c r="E28" s="545">
        <v>156.3</v>
      </c>
      <c r="F28" s="541">
        <f t="shared" si="0"/>
        <v>781.5</v>
      </c>
    </row>
    <row r="29" spans="1:6" ht="15.75">
      <c r="A29" s="339">
        <v>22</v>
      </c>
      <c r="B29" s="548" t="s">
        <v>931</v>
      </c>
      <c r="C29" s="544" t="s">
        <v>798</v>
      </c>
      <c r="D29" s="544">
        <v>3</v>
      </c>
      <c r="E29" s="545">
        <v>135.7</v>
      </c>
      <c r="F29" s="541">
        <f t="shared" si="0"/>
        <v>407.09999999999997</v>
      </c>
    </row>
    <row r="30" spans="1:6" ht="15.75">
      <c r="A30" s="339">
        <v>23</v>
      </c>
      <c r="B30" s="548" t="s">
        <v>932</v>
      </c>
      <c r="C30" s="544" t="s">
        <v>749</v>
      </c>
      <c r="D30" s="544">
        <v>1</v>
      </c>
      <c r="E30" s="545">
        <v>28.4</v>
      </c>
      <c r="F30" s="541">
        <f t="shared" si="0"/>
        <v>28.4</v>
      </c>
    </row>
    <row r="31" spans="1:6" ht="15.75">
      <c r="A31" s="339">
        <v>24</v>
      </c>
      <c r="B31" s="548" t="s">
        <v>933</v>
      </c>
      <c r="C31" s="544" t="s">
        <v>749</v>
      </c>
      <c r="D31" s="544">
        <v>3</v>
      </c>
      <c r="E31" s="545">
        <v>48.6</v>
      </c>
      <c r="F31" s="541">
        <f t="shared" si="0"/>
        <v>145.8</v>
      </c>
    </row>
    <row r="32" spans="1:6" ht="15.75">
      <c r="A32" s="339">
        <v>25</v>
      </c>
      <c r="B32" s="548" t="s">
        <v>934</v>
      </c>
      <c r="C32" s="544" t="s">
        <v>749</v>
      </c>
      <c r="D32" s="544">
        <v>3</v>
      </c>
      <c r="E32" s="545">
        <v>55</v>
      </c>
      <c r="F32" s="541">
        <f t="shared" si="0"/>
        <v>165</v>
      </c>
    </row>
    <row r="33" spans="1:6" ht="15.75">
      <c r="A33" s="339">
        <v>26</v>
      </c>
      <c r="B33" s="548" t="s">
        <v>935</v>
      </c>
      <c r="C33" s="544" t="s">
        <v>920</v>
      </c>
      <c r="D33" s="544">
        <v>2</v>
      </c>
      <c r="E33" s="545">
        <v>550.2</v>
      </c>
      <c r="F33" s="541">
        <f t="shared" si="0"/>
        <v>1100.4</v>
      </c>
    </row>
    <row r="34" spans="1:6" ht="15.75">
      <c r="A34" s="339">
        <v>27</v>
      </c>
      <c r="B34" s="543" t="s">
        <v>936</v>
      </c>
      <c r="C34" s="544" t="s">
        <v>749</v>
      </c>
      <c r="D34" s="544">
        <v>3</v>
      </c>
      <c r="E34" s="545">
        <v>119.8</v>
      </c>
      <c r="F34" s="541">
        <f t="shared" si="0"/>
        <v>359.4</v>
      </c>
    </row>
    <row r="35" spans="1:6" ht="15.75">
      <c r="A35" s="339">
        <v>28</v>
      </c>
      <c r="B35" s="549" t="s">
        <v>937</v>
      </c>
      <c r="C35" s="550" t="s">
        <v>749</v>
      </c>
      <c r="D35" s="550">
        <v>3</v>
      </c>
      <c r="E35" s="551">
        <v>290</v>
      </c>
      <c r="F35" s="541">
        <f t="shared" si="0"/>
        <v>870</v>
      </c>
    </row>
    <row r="36" spans="1:6" ht="15.75">
      <c r="A36" s="339">
        <v>29</v>
      </c>
      <c r="B36" s="543" t="s">
        <v>938</v>
      </c>
      <c r="C36" s="544" t="s">
        <v>749</v>
      </c>
      <c r="D36" s="544">
        <v>8</v>
      </c>
      <c r="E36" s="545">
        <v>32</v>
      </c>
      <c r="F36" s="541">
        <f t="shared" si="0"/>
        <v>256</v>
      </c>
    </row>
    <row r="37" spans="1:6" ht="15.75">
      <c r="A37" s="339">
        <v>30</v>
      </c>
      <c r="B37" s="543" t="s">
        <v>939</v>
      </c>
      <c r="C37" s="544" t="s">
        <v>920</v>
      </c>
      <c r="D37" s="544">
        <v>3</v>
      </c>
      <c r="E37" s="545">
        <v>160.5</v>
      </c>
      <c r="F37" s="541">
        <f t="shared" si="0"/>
        <v>481.5</v>
      </c>
    </row>
    <row r="38" spans="1:6" ht="15.75">
      <c r="A38" s="339">
        <v>31</v>
      </c>
      <c r="B38" s="543" t="s">
        <v>940</v>
      </c>
      <c r="C38" s="544" t="s">
        <v>749</v>
      </c>
      <c r="D38" s="544">
        <v>2</v>
      </c>
      <c r="E38" s="545">
        <v>276</v>
      </c>
      <c r="F38" s="541">
        <f t="shared" si="0"/>
        <v>552</v>
      </c>
    </row>
    <row r="39" spans="1:6" ht="15.75">
      <c r="A39" s="339">
        <v>32</v>
      </c>
      <c r="B39" s="543" t="s">
        <v>941</v>
      </c>
      <c r="C39" s="544" t="s">
        <v>749</v>
      </c>
      <c r="D39" s="544">
        <v>8</v>
      </c>
      <c r="E39" s="545">
        <v>72.4</v>
      </c>
      <c r="F39" s="541">
        <f t="shared" si="0"/>
        <v>579.2</v>
      </c>
    </row>
    <row r="40" spans="1:6" ht="15.75">
      <c r="A40" s="339">
        <v>33</v>
      </c>
      <c r="B40" s="549" t="s">
        <v>942</v>
      </c>
      <c r="C40" s="550" t="s">
        <v>749</v>
      </c>
      <c r="D40" s="550">
        <v>5</v>
      </c>
      <c r="E40" s="551">
        <v>310</v>
      </c>
      <c r="F40" s="541">
        <f t="shared" si="0"/>
        <v>1550</v>
      </c>
    </row>
    <row r="41" spans="1:6" ht="15.75">
      <c r="A41" s="339">
        <v>34</v>
      </c>
      <c r="B41" s="543" t="s">
        <v>943</v>
      </c>
      <c r="C41" s="544" t="s">
        <v>749</v>
      </c>
      <c r="D41" s="544">
        <v>1</v>
      </c>
      <c r="E41" s="545">
        <v>35.8</v>
      </c>
      <c r="F41" s="541">
        <f t="shared" si="0"/>
        <v>35.8</v>
      </c>
    </row>
    <row r="42" spans="1:6" ht="15.75">
      <c r="A42" s="339">
        <v>35</v>
      </c>
      <c r="B42" s="543" t="s">
        <v>944</v>
      </c>
      <c r="C42" s="544" t="s">
        <v>749</v>
      </c>
      <c r="D42" s="546">
        <v>5</v>
      </c>
      <c r="E42" s="545">
        <v>12.4</v>
      </c>
      <c r="F42" s="541">
        <f t="shared" si="0"/>
        <v>62</v>
      </c>
    </row>
    <row r="43" spans="1:6" ht="15.75">
      <c r="A43" s="339">
        <v>36</v>
      </c>
      <c r="B43" s="543" t="s">
        <v>945</v>
      </c>
      <c r="C43" s="544" t="s">
        <v>749</v>
      </c>
      <c r="D43" s="544">
        <v>10</v>
      </c>
      <c r="E43" s="545">
        <v>5.5</v>
      </c>
      <c r="F43" s="541">
        <f t="shared" si="0"/>
        <v>55</v>
      </c>
    </row>
    <row r="44" spans="1:6" ht="15.75">
      <c r="A44" s="339">
        <v>37</v>
      </c>
      <c r="B44" s="543" t="s">
        <v>946</v>
      </c>
      <c r="C44" s="544" t="s">
        <v>749</v>
      </c>
      <c r="D44" s="544">
        <v>2</v>
      </c>
      <c r="E44" s="545">
        <v>417</v>
      </c>
      <c r="F44" s="541">
        <f t="shared" si="0"/>
        <v>834</v>
      </c>
    </row>
    <row r="45" spans="1:6" ht="15.75">
      <c r="A45" s="339">
        <v>38</v>
      </c>
      <c r="B45" s="549" t="s">
        <v>947</v>
      </c>
      <c r="C45" s="550" t="s">
        <v>749</v>
      </c>
      <c r="D45" s="550">
        <v>5</v>
      </c>
      <c r="E45" s="551">
        <v>65</v>
      </c>
      <c r="F45" s="541">
        <f t="shared" si="0"/>
        <v>325</v>
      </c>
    </row>
    <row r="46" spans="1:6" ht="15.75">
      <c r="A46" s="339">
        <v>39</v>
      </c>
      <c r="B46" s="543" t="s">
        <v>948</v>
      </c>
      <c r="C46" s="544" t="s">
        <v>749</v>
      </c>
      <c r="D46" s="544">
        <v>30</v>
      </c>
      <c r="E46" s="545">
        <v>27.1</v>
      </c>
      <c r="F46" s="541">
        <f t="shared" si="0"/>
        <v>813</v>
      </c>
    </row>
    <row r="47" spans="1:6" ht="15.75">
      <c r="A47" s="339">
        <v>40</v>
      </c>
      <c r="B47" s="543" t="s">
        <v>949</v>
      </c>
      <c r="C47" s="544" t="s">
        <v>749</v>
      </c>
      <c r="D47" s="544">
        <v>1</v>
      </c>
      <c r="E47" s="545">
        <v>34.1</v>
      </c>
      <c r="F47" s="541">
        <f t="shared" si="0"/>
        <v>34.1</v>
      </c>
    </row>
    <row r="48" spans="1:6" ht="15.75">
      <c r="A48" s="339">
        <v>41</v>
      </c>
      <c r="B48" s="543" t="s">
        <v>950</v>
      </c>
      <c r="C48" s="544" t="s">
        <v>749</v>
      </c>
      <c r="D48" s="544">
        <v>10</v>
      </c>
      <c r="E48" s="545">
        <v>78.4</v>
      </c>
      <c r="F48" s="541">
        <f t="shared" si="0"/>
        <v>784</v>
      </c>
    </row>
    <row r="49" spans="1:6" ht="15.75">
      <c r="A49" s="339">
        <v>42</v>
      </c>
      <c r="B49" s="543" t="s">
        <v>951</v>
      </c>
      <c r="C49" s="544" t="s">
        <v>920</v>
      </c>
      <c r="D49" s="544">
        <v>10</v>
      </c>
      <c r="E49" s="545">
        <v>40</v>
      </c>
      <c r="F49" s="541">
        <f t="shared" si="0"/>
        <v>400</v>
      </c>
    </row>
    <row r="50" spans="1:6" ht="15.75">
      <c r="A50" s="339">
        <v>43</v>
      </c>
      <c r="B50" s="543" t="s">
        <v>952</v>
      </c>
      <c r="C50" s="544" t="s">
        <v>749</v>
      </c>
      <c r="D50" s="544">
        <v>10</v>
      </c>
      <c r="E50" s="545">
        <v>150</v>
      </c>
      <c r="F50" s="541">
        <f t="shared" si="0"/>
        <v>1500</v>
      </c>
    </row>
    <row r="51" spans="1:6" ht="15.75">
      <c r="A51" s="339">
        <v>44</v>
      </c>
      <c r="B51" s="543" t="s">
        <v>953</v>
      </c>
      <c r="C51" s="544" t="s">
        <v>798</v>
      </c>
      <c r="D51" s="544">
        <v>5</v>
      </c>
      <c r="E51" s="545">
        <v>35.6</v>
      </c>
      <c r="F51" s="541">
        <f t="shared" si="0"/>
        <v>178</v>
      </c>
    </row>
    <row r="52" spans="1:6" ht="15.75">
      <c r="A52" s="339">
        <v>45</v>
      </c>
      <c r="B52" s="543" t="s">
        <v>954</v>
      </c>
      <c r="C52" s="544" t="s">
        <v>798</v>
      </c>
      <c r="D52" s="544">
        <v>10</v>
      </c>
      <c r="E52" s="545">
        <v>35</v>
      </c>
      <c r="F52" s="541">
        <f t="shared" si="0"/>
        <v>350</v>
      </c>
    </row>
    <row r="53" spans="1:6" ht="15.75">
      <c r="A53" s="339">
        <v>46</v>
      </c>
      <c r="B53" s="543" t="s">
        <v>955</v>
      </c>
      <c r="C53" s="544" t="s">
        <v>798</v>
      </c>
      <c r="D53" s="544">
        <v>1</v>
      </c>
      <c r="E53" s="545">
        <v>356</v>
      </c>
      <c r="F53" s="541">
        <f t="shared" si="0"/>
        <v>356</v>
      </c>
    </row>
    <row r="54" spans="1:6" ht="15.75">
      <c r="A54" s="339">
        <v>47</v>
      </c>
      <c r="B54" s="543" t="s">
        <v>956</v>
      </c>
      <c r="C54" s="544" t="s">
        <v>798</v>
      </c>
      <c r="D54" s="544">
        <v>5</v>
      </c>
      <c r="E54" s="545">
        <v>45</v>
      </c>
      <c r="F54" s="541">
        <f t="shared" si="0"/>
        <v>225</v>
      </c>
    </row>
    <row r="55" spans="1:6" ht="15.75">
      <c r="A55" s="339">
        <v>48</v>
      </c>
      <c r="B55" s="543" t="s">
        <v>957</v>
      </c>
      <c r="C55" s="544" t="s">
        <v>920</v>
      </c>
      <c r="D55" s="546">
        <v>10</v>
      </c>
      <c r="E55" s="545">
        <v>45.3</v>
      </c>
      <c r="F55" s="541">
        <f t="shared" si="0"/>
        <v>453</v>
      </c>
    </row>
    <row r="56" spans="1:6" ht="15.75">
      <c r="A56" s="339">
        <v>49</v>
      </c>
      <c r="B56" s="549" t="s">
        <v>958</v>
      </c>
      <c r="C56" s="550" t="s">
        <v>959</v>
      </c>
      <c r="D56" s="550">
        <v>2</v>
      </c>
      <c r="E56" s="551">
        <v>182.41</v>
      </c>
      <c r="F56" s="541">
        <f t="shared" si="0"/>
        <v>364.82</v>
      </c>
    </row>
    <row r="57" spans="1:6" ht="15.75">
      <c r="A57" s="339">
        <v>50</v>
      </c>
      <c r="B57" s="543" t="s">
        <v>960</v>
      </c>
      <c r="C57" s="544" t="s">
        <v>749</v>
      </c>
      <c r="D57" s="544">
        <v>3</v>
      </c>
      <c r="E57" s="545">
        <v>176.9</v>
      </c>
      <c r="F57" s="541">
        <f t="shared" si="0"/>
        <v>530.7</v>
      </c>
    </row>
    <row r="58" spans="1:6" ht="15.75">
      <c r="A58" s="339">
        <v>51</v>
      </c>
      <c r="B58" s="543" t="s">
        <v>961</v>
      </c>
      <c r="C58" s="544" t="s">
        <v>749</v>
      </c>
      <c r="D58" s="544">
        <v>2</v>
      </c>
      <c r="E58" s="545">
        <v>96</v>
      </c>
      <c r="F58" s="541">
        <f t="shared" si="0"/>
        <v>192</v>
      </c>
    </row>
    <row r="59" spans="1:6" ht="15.75">
      <c r="A59" s="339">
        <v>52</v>
      </c>
      <c r="B59" s="543" t="s">
        <v>962</v>
      </c>
      <c r="C59" s="544" t="s">
        <v>749</v>
      </c>
      <c r="D59" s="544">
        <v>1</v>
      </c>
      <c r="E59" s="545">
        <v>175</v>
      </c>
      <c r="F59" s="541">
        <f t="shared" si="0"/>
        <v>175</v>
      </c>
    </row>
    <row r="60" spans="1:6" ht="15.75">
      <c r="A60" s="339">
        <v>53</v>
      </c>
      <c r="B60" s="543" t="s">
        <v>963</v>
      </c>
      <c r="C60" s="544" t="s">
        <v>749</v>
      </c>
      <c r="D60" s="544">
        <v>5</v>
      </c>
      <c r="E60" s="545">
        <v>176</v>
      </c>
      <c r="F60" s="541">
        <f t="shared" si="0"/>
        <v>880</v>
      </c>
    </row>
    <row r="61" spans="1:6" ht="15.75">
      <c r="A61" s="339">
        <v>54</v>
      </c>
      <c r="B61" s="549" t="s">
        <v>964</v>
      </c>
      <c r="C61" s="550" t="s">
        <v>749</v>
      </c>
      <c r="D61" s="550">
        <v>5</v>
      </c>
      <c r="E61" s="551">
        <v>221.4</v>
      </c>
      <c r="F61" s="541">
        <f t="shared" si="0"/>
        <v>1107</v>
      </c>
    </row>
    <row r="62" spans="1:6" ht="15.75">
      <c r="A62" s="339">
        <v>55</v>
      </c>
      <c r="B62" s="543" t="s">
        <v>965</v>
      </c>
      <c r="C62" s="544" t="s">
        <v>749</v>
      </c>
      <c r="D62" s="544">
        <v>5</v>
      </c>
      <c r="E62" s="545">
        <v>160</v>
      </c>
      <c r="F62" s="541">
        <f t="shared" si="0"/>
        <v>800</v>
      </c>
    </row>
    <row r="63" spans="1:6" ht="15.75">
      <c r="A63" s="339">
        <v>56</v>
      </c>
      <c r="B63" s="549" t="s">
        <v>966</v>
      </c>
      <c r="C63" s="550" t="s">
        <v>749</v>
      </c>
      <c r="D63" s="550">
        <v>10</v>
      </c>
      <c r="E63" s="551">
        <v>179.8</v>
      </c>
      <c r="F63" s="541">
        <f t="shared" si="0"/>
        <v>1798</v>
      </c>
    </row>
    <row r="64" spans="1:6" ht="15.75">
      <c r="A64" s="339">
        <v>57</v>
      </c>
      <c r="B64" s="543" t="s">
        <v>967</v>
      </c>
      <c r="C64" s="544" t="s">
        <v>749</v>
      </c>
      <c r="D64" s="544">
        <v>3</v>
      </c>
      <c r="E64" s="545">
        <v>398</v>
      </c>
      <c r="F64" s="541">
        <f t="shared" si="0"/>
        <v>1194</v>
      </c>
    </row>
    <row r="65" spans="1:6" ht="15.75">
      <c r="A65" s="339">
        <v>58</v>
      </c>
      <c r="B65" s="538" t="s">
        <v>968</v>
      </c>
      <c r="C65" s="539" t="s">
        <v>749</v>
      </c>
      <c r="D65" s="540">
        <v>5</v>
      </c>
      <c r="E65" s="541">
        <v>72</v>
      </c>
      <c r="F65" s="541">
        <f t="shared" si="0"/>
        <v>360</v>
      </c>
    </row>
    <row r="66" spans="1:6" ht="15.75">
      <c r="A66" s="339">
        <v>59</v>
      </c>
      <c r="B66" s="549" t="s">
        <v>969</v>
      </c>
      <c r="C66" s="550" t="s">
        <v>959</v>
      </c>
      <c r="D66" s="550">
        <v>3</v>
      </c>
      <c r="E66" s="551">
        <v>290</v>
      </c>
      <c r="F66" s="541">
        <f t="shared" si="0"/>
        <v>870</v>
      </c>
    </row>
    <row r="67" spans="1:6" ht="15.75">
      <c r="A67" s="339">
        <v>60</v>
      </c>
      <c r="B67" s="549" t="s">
        <v>970</v>
      </c>
      <c r="C67" s="550" t="s">
        <v>959</v>
      </c>
      <c r="D67" s="550">
        <v>10</v>
      </c>
      <c r="E67" s="551">
        <v>45</v>
      </c>
      <c r="F67" s="541">
        <f t="shared" si="0"/>
        <v>450</v>
      </c>
    </row>
    <row r="68" spans="1:6" ht="15.75">
      <c r="A68" s="339">
        <v>61</v>
      </c>
      <c r="B68" s="552" t="s">
        <v>971</v>
      </c>
      <c r="C68" s="472" t="s">
        <v>959</v>
      </c>
      <c r="D68" s="472">
        <v>4</v>
      </c>
      <c r="E68" s="553">
        <v>120</v>
      </c>
      <c r="F68" s="541">
        <f t="shared" si="0"/>
        <v>480</v>
      </c>
    </row>
    <row r="69" spans="1:6" ht="15.75">
      <c r="A69" s="339">
        <v>62</v>
      </c>
      <c r="B69" s="543" t="s">
        <v>972</v>
      </c>
      <c r="C69" s="544" t="s">
        <v>798</v>
      </c>
      <c r="D69" s="544">
        <v>10</v>
      </c>
      <c r="E69" s="545">
        <v>35</v>
      </c>
      <c r="F69" s="541">
        <f t="shared" si="0"/>
        <v>350</v>
      </c>
    </row>
    <row r="70" spans="1:6" ht="15.75">
      <c r="A70" s="339">
        <v>63</v>
      </c>
      <c r="B70" s="543" t="s">
        <v>973</v>
      </c>
      <c r="C70" s="544" t="s">
        <v>959</v>
      </c>
      <c r="D70" s="544">
        <v>1</v>
      </c>
      <c r="E70" s="545">
        <v>198</v>
      </c>
      <c r="F70" s="541">
        <f t="shared" si="0"/>
        <v>198</v>
      </c>
    </row>
    <row r="71" spans="1:6" ht="15.75">
      <c r="A71" s="339">
        <v>64</v>
      </c>
      <c r="B71" s="549" t="s">
        <v>974</v>
      </c>
      <c r="C71" s="550" t="s">
        <v>749</v>
      </c>
      <c r="D71" s="550">
        <v>2</v>
      </c>
      <c r="E71" s="551">
        <v>592.55</v>
      </c>
      <c r="F71" s="541">
        <f t="shared" si="0"/>
        <v>1185.1</v>
      </c>
    </row>
    <row r="72" spans="1:6" ht="15.75">
      <c r="A72" s="339">
        <v>65</v>
      </c>
      <c r="B72" s="549" t="s">
        <v>975</v>
      </c>
      <c r="C72" s="550" t="s">
        <v>959</v>
      </c>
      <c r="D72" s="550">
        <v>1</v>
      </c>
      <c r="E72" s="551">
        <v>376.27</v>
      </c>
      <c r="F72" s="541">
        <f t="shared" si="0"/>
        <v>376.27</v>
      </c>
    </row>
    <row r="73" spans="1:6" ht="15.75">
      <c r="A73" s="339">
        <v>66</v>
      </c>
      <c r="B73" s="549" t="s">
        <v>976</v>
      </c>
      <c r="C73" s="550" t="s">
        <v>798</v>
      </c>
      <c r="D73" s="550">
        <v>5</v>
      </c>
      <c r="E73" s="551">
        <v>37</v>
      </c>
      <c r="F73" s="541">
        <f aca="true" t="shared" si="1" ref="F73:F108">D73*E73</f>
        <v>185</v>
      </c>
    </row>
    <row r="74" spans="1:6" ht="15.75">
      <c r="A74" s="339">
        <v>67</v>
      </c>
      <c r="B74" s="549" t="s">
        <v>977</v>
      </c>
      <c r="C74" s="550" t="s">
        <v>749</v>
      </c>
      <c r="D74" s="550">
        <v>10</v>
      </c>
      <c r="E74" s="551">
        <v>7.4</v>
      </c>
      <c r="F74" s="541">
        <f t="shared" si="1"/>
        <v>74</v>
      </c>
    </row>
    <row r="75" spans="1:6" ht="15.75">
      <c r="A75" s="339">
        <v>68</v>
      </c>
      <c r="B75" s="548" t="s">
        <v>978</v>
      </c>
      <c r="C75" s="544" t="s">
        <v>959</v>
      </c>
      <c r="D75" s="546">
        <v>2</v>
      </c>
      <c r="E75" s="545">
        <v>185.85</v>
      </c>
      <c r="F75" s="541">
        <f t="shared" si="1"/>
        <v>371.7</v>
      </c>
    </row>
    <row r="76" spans="1:6" ht="15.75">
      <c r="A76" s="339">
        <v>69</v>
      </c>
      <c r="B76" s="548" t="s">
        <v>979</v>
      </c>
      <c r="C76" s="544" t="s">
        <v>959</v>
      </c>
      <c r="D76" s="546">
        <v>1</v>
      </c>
      <c r="E76" s="545">
        <v>300</v>
      </c>
      <c r="F76" s="541">
        <f t="shared" si="1"/>
        <v>300</v>
      </c>
    </row>
    <row r="77" spans="1:6" ht="15.75">
      <c r="A77" s="339">
        <v>70</v>
      </c>
      <c r="B77" s="548" t="s">
        <v>980</v>
      </c>
      <c r="C77" s="544" t="s">
        <v>959</v>
      </c>
      <c r="D77" s="546">
        <v>3</v>
      </c>
      <c r="E77" s="545">
        <v>280</v>
      </c>
      <c r="F77" s="541">
        <f t="shared" si="1"/>
        <v>840</v>
      </c>
    </row>
    <row r="78" spans="1:6" ht="15.75">
      <c r="A78" s="339">
        <v>71</v>
      </c>
      <c r="B78" s="543" t="s">
        <v>981</v>
      </c>
      <c r="C78" s="544" t="s">
        <v>959</v>
      </c>
      <c r="D78" s="544">
        <v>2</v>
      </c>
      <c r="E78" s="545">
        <v>360.4</v>
      </c>
      <c r="F78" s="541">
        <f t="shared" si="1"/>
        <v>720.8</v>
      </c>
    </row>
    <row r="79" spans="1:6" ht="15.75">
      <c r="A79" s="339">
        <v>72</v>
      </c>
      <c r="B79" s="552" t="s">
        <v>982</v>
      </c>
      <c r="C79" s="472" t="s">
        <v>749</v>
      </c>
      <c r="D79" s="472">
        <v>30</v>
      </c>
      <c r="E79" s="553">
        <v>21</v>
      </c>
      <c r="F79" s="541">
        <f t="shared" si="1"/>
        <v>630</v>
      </c>
    </row>
    <row r="80" spans="1:6" ht="15.75">
      <c r="A80" s="339">
        <v>73</v>
      </c>
      <c r="B80" s="548" t="s">
        <v>983</v>
      </c>
      <c r="C80" s="544" t="s">
        <v>920</v>
      </c>
      <c r="D80" s="544">
        <v>10</v>
      </c>
      <c r="E80" s="545">
        <v>200</v>
      </c>
      <c r="F80" s="541">
        <f t="shared" si="1"/>
        <v>2000</v>
      </c>
    </row>
    <row r="81" spans="1:6" ht="15.75">
      <c r="A81" s="339">
        <v>74</v>
      </c>
      <c r="B81" s="548" t="s">
        <v>984</v>
      </c>
      <c r="C81" s="544" t="s">
        <v>749</v>
      </c>
      <c r="D81" s="544">
        <v>30</v>
      </c>
      <c r="E81" s="545">
        <v>26</v>
      </c>
      <c r="F81" s="541">
        <f t="shared" si="1"/>
        <v>780</v>
      </c>
    </row>
    <row r="82" spans="1:6" ht="15.75">
      <c r="A82" s="339">
        <v>75</v>
      </c>
      <c r="B82" s="548" t="s">
        <v>985</v>
      </c>
      <c r="C82" s="544" t="s">
        <v>749</v>
      </c>
      <c r="D82" s="544">
        <v>30</v>
      </c>
      <c r="E82" s="545">
        <v>19.3</v>
      </c>
      <c r="F82" s="541">
        <f t="shared" si="1"/>
        <v>579</v>
      </c>
    </row>
    <row r="83" spans="1:6" ht="15.75">
      <c r="A83" s="339">
        <v>76</v>
      </c>
      <c r="B83" s="548" t="s">
        <v>986</v>
      </c>
      <c r="C83" s="544" t="s">
        <v>749</v>
      </c>
      <c r="D83" s="544">
        <v>4</v>
      </c>
      <c r="E83" s="545">
        <v>59.5</v>
      </c>
      <c r="F83" s="541">
        <f t="shared" si="1"/>
        <v>238</v>
      </c>
    </row>
    <row r="84" spans="1:6" ht="15.75">
      <c r="A84" s="339">
        <v>77</v>
      </c>
      <c r="B84" s="548" t="s">
        <v>987</v>
      </c>
      <c r="C84" s="544" t="s">
        <v>749</v>
      </c>
      <c r="D84" s="544">
        <v>100</v>
      </c>
      <c r="E84" s="545">
        <v>2.9</v>
      </c>
      <c r="F84" s="541">
        <f t="shared" si="1"/>
        <v>290</v>
      </c>
    </row>
    <row r="85" spans="1:6" ht="15.75">
      <c r="A85" s="339">
        <v>78</v>
      </c>
      <c r="B85" s="548" t="s">
        <v>988</v>
      </c>
      <c r="C85" s="544" t="s">
        <v>749</v>
      </c>
      <c r="D85" s="544">
        <v>10</v>
      </c>
      <c r="E85" s="545">
        <v>39</v>
      </c>
      <c r="F85" s="541">
        <f t="shared" si="1"/>
        <v>390</v>
      </c>
    </row>
    <row r="86" spans="1:6" ht="15.75">
      <c r="A86" s="339">
        <v>79</v>
      </c>
      <c r="B86" s="548" t="s">
        <v>989</v>
      </c>
      <c r="C86" s="544" t="s">
        <v>749</v>
      </c>
      <c r="D86" s="544">
        <v>10</v>
      </c>
      <c r="E86" s="545">
        <v>85</v>
      </c>
      <c r="F86" s="541">
        <f t="shared" si="1"/>
        <v>850</v>
      </c>
    </row>
    <row r="87" spans="1:6" ht="15.75">
      <c r="A87" s="339">
        <v>80</v>
      </c>
      <c r="B87" s="548" t="s">
        <v>990</v>
      </c>
      <c r="C87" s="544" t="s">
        <v>590</v>
      </c>
      <c r="D87" s="544">
        <v>50</v>
      </c>
      <c r="E87" s="545">
        <v>13.3</v>
      </c>
      <c r="F87" s="541">
        <f t="shared" si="1"/>
        <v>665</v>
      </c>
    </row>
    <row r="88" spans="1:6" ht="15.75">
      <c r="A88" s="339">
        <v>81</v>
      </c>
      <c r="B88" s="548" t="s">
        <v>991</v>
      </c>
      <c r="C88" s="554" t="s">
        <v>590</v>
      </c>
      <c r="D88" s="554">
        <v>200</v>
      </c>
      <c r="E88" s="555">
        <v>12.5</v>
      </c>
      <c r="F88" s="541">
        <f t="shared" si="1"/>
        <v>2500</v>
      </c>
    </row>
    <row r="89" spans="1:6" ht="15.75">
      <c r="A89" s="339">
        <v>82</v>
      </c>
      <c r="B89" s="548" t="s">
        <v>992</v>
      </c>
      <c r="C89" s="544" t="s">
        <v>749</v>
      </c>
      <c r="D89" s="544">
        <v>50</v>
      </c>
      <c r="E89" s="545">
        <v>5.97</v>
      </c>
      <c r="F89" s="541">
        <f t="shared" si="1"/>
        <v>298.5</v>
      </c>
    </row>
    <row r="90" spans="1:6" ht="15.75">
      <c r="A90" s="339">
        <v>83</v>
      </c>
      <c r="B90" s="548" t="s">
        <v>993</v>
      </c>
      <c r="C90" s="544" t="s">
        <v>749</v>
      </c>
      <c r="D90" s="544">
        <v>10</v>
      </c>
      <c r="E90" s="545">
        <v>4.87</v>
      </c>
      <c r="F90" s="541">
        <f t="shared" si="1"/>
        <v>48.7</v>
      </c>
    </row>
    <row r="91" spans="1:6" ht="15.75">
      <c r="A91" s="339">
        <v>84</v>
      </c>
      <c r="B91" s="548" t="s">
        <v>994</v>
      </c>
      <c r="C91" s="544" t="s">
        <v>995</v>
      </c>
      <c r="D91" s="544">
        <v>50</v>
      </c>
      <c r="E91" s="545">
        <v>3.05</v>
      </c>
      <c r="F91" s="541">
        <f t="shared" si="1"/>
        <v>152.5</v>
      </c>
    </row>
    <row r="92" spans="1:6" ht="15.75">
      <c r="A92" s="339">
        <v>85</v>
      </c>
      <c r="B92" s="548" t="s">
        <v>996</v>
      </c>
      <c r="C92" s="544" t="s">
        <v>749</v>
      </c>
      <c r="D92" s="544">
        <v>50</v>
      </c>
      <c r="E92" s="545">
        <v>2.2</v>
      </c>
      <c r="F92" s="541">
        <f t="shared" si="1"/>
        <v>110.00000000000001</v>
      </c>
    </row>
    <row r="93" spans="1:6" ht="15.75">
      <c r="A93" s="339">
        <v>86</v>
      </c>
      <c r="B93" s="538" t="s">
        <v>997</v>
      </c>
      <c r="C93" s="376" t="s">
        <v>749</v>
      </c>
      <c r="D93" s="556">
        <v>5</v>
      </c>
      <c r="E93" s="347">
        <v>80</v>
      </c>
      <c r="F93" s="541">
        <f t="shared" si="1"/>
        <v>400</v>
      </c>
    </row>
    <row r="94" spans="1:6" ht="15.75">
      <c r="A94" s="339">
        <v>87</v>
      </c>
      <c r="B94" s="548" t="s">
        <v>998</v>
      </c>
      <c r="C94" s="544" t="s">
        <v>920</v>
      </c>
      <c r="D94" s="544">
        <v>3</v>
      </c>
      <c r="E94" s="545">
        <v>310</v>
      </c>
      <c r="F94" s="541">
        <f t="shared" si="1"/>
        <v>930</v>
      </c>
    </row>
    <row r="95" spans="1:6" ht="15.75">
      <c r="A95" s="339">
        <v>88</v>
      </c>
      <c r="B95" s="548" t="s">
        <v>999</v>
      </c>
      <c r="C95" s="544" t="s">
        <v>920</v>
      </c>
      <c r="D95" s="544">
        <v>2</v>
      </c>
      <c r="E95" s="545">
        <v>66</v>
      </c>
      <c r="F95" s="541">
        <f t="shared" si="1"/>
        <v>132</v>
      </c>
    </row>
    <row r="96" spans="1:6" ht="15.75">
      <c r="A96" s="339">
        <v>89</v>
      </c>
      <c r="B96" s="549" t="s">
        <v>1000</v>
      </c>
      <c r="C96" s="550" t="s">
        <v>749</v>
      </c>
      <c r="D96" s="550">
        <v>6</v>
      </c>
      <c r="E96" s="551">
        <v>450</v>
      </c>
      <c r="F96" s="541">
        <f t="shared" si="1"/>
        <v>2700</v>
      </c>
    </row>
    <row r="97" spans="1:6" ht="30">
      <c r="A97" s="339">
        <v>90</v>
      </c>
      <c r="B97" s="557" t="s">
        <v>1001</v>
      </c>
      <c r="C97" s="544" t="s">
        <v>749</v>
      </c>
      <c r="D97" s="544">
        <v>200</v>
      </c>
      <c r="E97" s="545">
        <v>2.7</v>
      </c>
      <c r="F97" s="541">
        <f t="shared" si="1"/>
        <v>540</v>
      </c>
    </row>
    <row r="98" spans="1:6" ht="30">
      <c r="A98" s="339">
        <v>91</v>
      </c>
      <c r="B98" s="557" t="s">
        <v>1002</v>
      </c>
      <c r="C98" s="544" t="s">
        <v>749</v>
      </c>
      <c r="D98" s="544">
        <v>50</v>
      </c>
      <c r="E98" s="545">
        <v>2</v>
      </c>
      <c r="F98" s="541">
        <f t="shared" si="1"/>
        <v>100</v>
      </c>
    </row>
    <row r="99" spans="1:6" ht="15.75">
      <c r="A99" s="339">
        <v>92</v>
      </c>
      <c r="B99" s="548" t="s">
        <v>1003</v>
      </c>
      <c r="C99" s="544" t="s">
        <v>749</v>
      </c>
      <c r="D99" s="544">
        <v>200</v>
      </c>
      <c r="E99" s="545">
        <v>15</v>
      </c>
      <c r="F99" s="541">
        <f t="shared" si="1"/>
        <v>3000</v>
      </c>
    </row>
    <row r="100" spans="1:6" ht="15.75">
      <c r="A100" s="339">
        <v>93</v>
      </c>
      <c r="B100" s="548" t="s">
        <v>1004</v>
      </c>
      <c r="C100" s="544" t="s">
        <v>920</v>
      </c>
      <c r="D100" s="544">
        <v>4</v>
      </c>
      <c r="E100" s="545">
        <v>92.56</v>
      </c>
      <c r="F100" s="541">
        <f t="shared" si="1"/>
        <v>370.24</v>
      </c>
    </row>
    <row r="101" spans="1:6" ht="15.75">
      <c r="A101" s="339">
        <v>94</v>
      </c>
      <c r="B101" s="548" t="s">
        <v>1005</v>
      </c>
      <c r="C101" s="544" t="s">
        <v>749</v>
      </c>
      <c r="D101" s="544">
        <v>5</v>
      </c>
      <c r="E101" s="545">
        <v>117</v>
      </c>
      <c r="F101" s="541">
        <f t="shared" si="1"/>
        <v>585</v>
      </c>
    </row>
    <row r="102" spans="1:6" ht="15.75">
      <c r="A102" s="339">
        <v>95</v>
      </c>
      <c r="B102" s="548" t="s">
        <v>1006</v>
      </c>
      <c r="C102" s="544" t="s">
        <v>920</v>
      </c>
      <c r="D102" s="544">
        <v>2</v>
      </c>
      <c r="E102" s="545">
        <v>164</v>
      </c>
      <c r="F102" s="541">
        <f t="shared" si="1"/>
        <v>328</v>
      </c>
    </row>
    <row r="103" spans="1:6" ht="15.75">
      <c r="A103" s="339">
        <v>96</v>
      </c>
      <c r="B103" s="558" t="s">
        <v>1007</v>
      </c>
      <c r="C103" s="474" t="s">
        <v>959</v>
      </c>
      <c r="D103" s="559">
        <v>5</v>
      </c>
      <c r="E103" s="474">
        <v>32</v>
      </c>
      <c r="F103" s="541">
        <f t="shared" si="1"/>
        <v>160</v>
      </c>
    </row>
    <row r="104" spans="1:6" ht="15.75">
      <c r="A104" s="339">
        <v>97</v>
      </c>
      <c r="B104" s="558" t="s">
        <v>1008</v>
      </c>
      <c r="C104" s="474" t="s">
        <v>749</v>
      </c>
      <c r="D104" s="559">
        <v>2</v>
      </c>
      <c r="E104" s="474">
        <v>600</v>
      </c>
      <c r="F104" s="541">
        <f t="shared" si="1"/>
        <v>1200</v>
      </c>
    </row>
    <row r="105" spans="1:6" ht="15.75">
      <c r="A105" s="339">
        <v>98</v>
      </c>
      <c r="B105" s="558" t="s">
        <v>1009</v>
      </c>
      <c r="C105" s="474" t="s">
        <v>749</v>
      </c>
      <c r="D105" s="559">
        <v>2</v>
      </c>
      <c r="E105" s="474">
        <v>350</v>
      </c>
      <c r="F105" s="541">
        <f t="shared" si="1"/>
        <v>700</v>
      </c>
    </row>
    <row r="106" spans="1:6" ht="15.75">
      <c r="A106" s="339">
        <v>99</v>
      </c>
      <c r="B106" s="558" t="s">
        <v>1010</v>
      </c>
      <c r="C106" s="474" t="s">
        <v>959</v>
      </c>
      <c r="D106" s="559">
        <v>20</v>
      </c>
      <c r="E106" s="474">
        <v>38</v>
      </c>
      <c r="F106" s="541">
        <f t="shared" si="1"/>
        <v>760</v>
      </c>
    </row>
    <row r="107" spans="1:6" ht="15.75">
      <c r="A107" s="339">
        <v>100</v>
      </c>
      <c r="B107" s="558" t="s">
        <v>1011</v>
      </c>
      <c r="C107" s="474" t="s">
        <v>749</v>
      </c>
      <c r="D107" s="559">
        <v>2</v>
      </c>
      <c r="E107" s="474">
        <v>180</v>
      </c>
      <c r="F107" s="541">
        <f t="shared" si="1"/>
        <v>360</v>
      </c>
    </row>
    <row r="108" spans="1:6" ht="15.75">
      <c r="A108" s="339">
        <v>101</v>
      </c>
      <c r="B108" s="558" t="s">
        <v>1012</v>
      </c>
      <c r="C108" s="474" t="s">
        <v>959</v>
      </c>
      <c r="D108" s="559">
        <v>1</v>
      </c>
      <c r="E108" s="474">
        <f>500+150.36</f>
        <v>650.36</v>
      </c>
      <c r="F108" s="541">
        <f t="shared" si="1"/>
        <v>650.36</v>
      </c>
    </row>
    <row r="109" spans="1:6" ht="15.75" customHeight="1" hidden="1">
      <c r="A109" s="339"/>
      <c r="B109" s="558"/>
      <c r="C109" s="474"/>
      <c r="D109" s="559"/>
      <c r="E109" s="474"/>
      <c r="F109" s="474"/>
    </row>
    <row r="110" spans="1:6" ht="15.75" customHeight="1" hidden="1">
      <c r="A110" s="339"/>
      <c r="B110" s="558"/>
      <c r="C110" s="474"/>
      <c r="D110" s="559"/>
      <c r="E110" s="474"/>
      <c r="F110" s="474"/>
    </row>
    <row r="111" spans="1:6" ht="15.75" customHeight="1" hidden="1">
      <c r="A111" s="339"/>
      <c r="B111" s="558"/>
      <c r="C111" s="474"/>
      <c r="D111" s="559"/>
      <c r="E111" s="474"/>
      <c r="F111" s="474"/>
    </row>
    <row r="112" spans="1:6" ht="15.75">
      <c r="A112" s="1026"/>
      <c r="B112" s="1026"/>
      <c r="C112" s="1026"/>
      <c r="D112" s="1026"/>
      <c r="E112" s="1026"/>
      <c r="F112" s="560">
        <f>SUM(F8:F111)</f>
        <v>58623.88999999999</v>
      </c>
    </row>
    <row r="113" ht="15.75">
      <c r="F113" s="459"/>
    </row>
    <row r="114" spans="5:6" s="449" customFormat="1" ht="24" customHeight="1">
      <c r="E114" s="962"/>
      <c r="F114" s="963"/>
    </row>
    <row r="115" spans="3:6" s="449" customFormat="1" ht="15.75">
      <c r="C115" s="459"/>
      <c r="F115" s="435"/>
    </row>
    <row r="116" spans="3:6" s="449" customFormat="1" ht="15.75">
      <c r="C116" s="459"/>
      <c r="F116" s="410"/>
    </row>
    <row r="117" spans="3:6" s="449" customFormat="1" ht="15.75" customHeight="1">
      <c r="C117" s="459"/>
      <c r="E117" s="962"/>
      <c r="F117" s="963"/>
    </row>
    <row r="118" s="449" customFormat="1" ht="15.75">
      <c r="C118" s="459"/>
    </row>
    <row r="119" s="449" customFormat="1" ht="15.75">
      <c r="C119" s="459"/>
    </row>
    <row r="120" s="449" customFormat="1" ht="15.75">
      <c r="C120" s="459"/>
    </row>
  </sheetData>
  <sheetProtection/>
  <mergeCells count="8">
    <mergeCell ref="E117:F117"/>
    <mergeCell ref="B5:D5"/>
    <mergeCell ref="A1:F1"/>
    <mergeCell ref="A2:F2"/>
    <mergeCell ref="A3:F3"/>
    <mergeCell ref="A4:F4"/>
    <mergeCell ref="A112:E112"/>
    <mergeCell ref="E114:F114"/>
  </mergeCells>
  <printOptions/>
  <pageMargins left="0.98425196850393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9"/>
  <sheetViews>
    <sheetView zoomScalePageLayoutView="0" workbookViewId="0" topLeftCell="A8">
      <selection activeCell="H19" sqref="H19"/>
    </sheetView>
  </sheetViews>
  <sheetFormatPr defaultColWidth="9.00390625" defaultRowHeight="12.75"/>
  <cols>
    <col min="1" max="1" width="5.25390625" style="388" customWidth="1"/>
    <col min="2" max="2" width="26.875" style="435" customWidth="1"/>
    <col min="3" max="3" width="9.625" style="435" customWidth="1"/>
    <col min="4" max="4" width="13.625" style="388" customWidth="1"/>
    <col min="5" max="5" width="9.125" style="388" customWidth="1"/>
    <col min="6" max="6" width="12.375" style="388" customWidth="1"/>
    <col min="7" max="7" width="13.875" style="388" customWidth="1"/>
    <col min="8" max="10" width="11.875" style="388" customWidth="1"/>
    <col min="11" max="11" width="9.625" style="388" customWidth="1"/>
    <col min="12" max="12" width="12.875" style="388" customWidth="1"/>
    <col min="13" max="16384" width="9.125" style="435" customWidth="1"/>
  </cols>
  <sheetData>
    <row r="1" spans="1:12" ht="16.5">
      <c r="A1" s="926" t="s">
        <v>742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</row>
    <row r="2" spans="1:12" ht="15.75">
      <c r="A2" s="926" t="s">
        <v>656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</row>
    <row r="3" spans="1:12" ht="22.5" customHeight="1">
      <c r="A3" s="966" t="s">
        <v>1013</v>
      </c>
      <c r="B3" s="966"/>
      <c r="C3" s="966"/>
      <c r="D3" s="966"/>
      <c r="E3" s="966"/>
      <c r="F3" s="966"/>
      <c r="G3" s="966"/>
      <c r="H3" s="966"/>
      <c r="I3" s="966"/>
      <c r="J3" s="966"/>
      <c r="K3" s="966"/>
      <c r="L3" s="966"/>
    </row>
    <row r="4" ht="31.5">
      <c r="F4" s="388" t="s">
        <v>902</v>
      </c>
    </row>
    <row r="5" spans="2:5" ht="15.75">
      <c r="B5" s="1034" t="s">
        <v>1015</v>
      </c>
      <c r="C5" s="1034"/>
      <c r="D5" s="1034"/>
      <c r="E5" s="1034"/>
    </row>
    <row r="6" spans="1:12" s="500" customFormat="1" ht="78.75">
      <c r="A6" s="391" t="s">
        <v>556</v>
      </c>
      <c r="B6" s="391" t="s">
        <v>1016</v>
      </c>
      <c r="C6" s="391" t="s">
        <v>1017</v>
      </c>
      <c r="D6" s="561" t="s">
        <v>1018</v>
      </c>
      <c r="E6" s="391" t="s">
        <v>1019</v>
      </c>
      <c r="F6" s="391" t="s">
        <v>1020</v>
      </c>
      <c r="G6" s="391" t="s">
        <v>1021</v>
      </c>
      <c r="H6" s="391" t="s">
        <v>1022</v>
      </c>
      <c r="I6" s="391" t="s">
        <v>1023</v>
      </c>
      <c r="J6" s="391" t="s">
        <v>1024</v>
      </c>
      <c r="K6" s="391" t="s">
        <v>1025</v>
      </c>
      <c r="L6" s="391" t="s">
        <v>1026</v>
      </c>
    </row>
    <row r="7" spans="1:12" ht="15.75">
      <c r="A7" s="389">
        <v>1</v>
      </c>
      <c r="B7" s="562" t="s">
        <v>874</v>
      </c>
      <c r="C7" s="562" t="s">
        <v>1027</v>
      </c>
      <c r="D7" s="563">
        <v>23874</v>
      </c>
      <c r="E7" s="564">
        <v>9.8</v>
      </c>
      <c r="F7" s="564">
        <f>ROUND(D7*E7/100/12*1.15*5.5,2)</f>
        <v>1233.19</v>
      </c>
      <c r="G7" s="564">
        <f>ROUND(D7*E7/100/12*6.5,2)</f>
        <v>1267.31</v>
      </c>
      <c r="H7" s="564">
        <f>F7+G7</f>
        <v>2500.5</v>
      </c>
      <c r="I7" s="564"/>
      <c r="J7" s="564">
        <f>H7+I7</f>
        <v>2500.5</v>
      </c>
      <c r="K7" s="565">
        <v>30</v>
      </c>
      <c r="L7" s="566">
        <f>J7*K7</f>
        <v>75015</v>
      </c>
    </row>
    <row r="8" spans="1:12" ht="15.75">
      <c r="A8" s="389">
        <v>2</v>
      </c>
      <c r="B8" s="562" t="s">
        <v>1028</v>
      </c>
      <c r="C8" s="562" t="s">
        <v>1027</v>
      </c>
      <c r="D8" s="563">
        <v>673</v>
      </c>
      <c r="E8" s="564">
        <v>17.6</v>
      </c>
      <c r="F8" s="564">
        <f>ROUND(D8*E8/100/12*1.15*5.5,2)</f>
        <v>62.43</v>
      </c>
      <c r="G8" s="564">
        <f>ROUND(D8*E8/100/12*6.5,2)</f>
        <v>64.16</v>
      </c>
      <c r="H8" s="564">
        <f>F8+G8</f>
        <v>126.59</v>
      </c>
      <c r="I8" s="564"/>
      <c r="J8" s="564">
        <f>H8+I8</f>
        <v>126.59</v>
      </c>
      <c r="K8" s="565">
        <v>30</v>
      </c>
      <c r="L8" s="566">
        <f>J8*K8</f>
        <v>3797.7000000000003</v>
      </c>
    </row>
    <row r="9" spans="1:12" ht="15.75">
      <c r="A9" s="389">
        <v>3</v>
      </c>
      <c r="B9" s="562" t="s">
        <v>1029</v>
      </c>
      <c r="C9" s="562" t="s">
        <v>1030</v>
      </c>
      <c r="D9" s="563">
        <v>12954</v>
      </c>
      <c r="E9" s="564">
        <v>12</v>
      </c>
      <c r="F9" s="564">
        <f>ROUND(D9*E9/100/12*1.15*5.5,2)</f>
        <v>819.34</v>
      </c>
      <c r="G9" s="564">
        <f>ROUND(D9*E9/100/12*6.5,2)</f>
        <v>842.01</v>
      </c>
      <c r="H9" s="564">
        <f>F9+G9</f>
        <v>1661.35</v>
      </c>
      <c r="I9" s="564"/>
      <c r="J9" s="564">
        <f>H9+I9</f>
        <v>1661.35</v>
      </c>
      <c r="K9" s="565">
        <v>37.5</v>
      </c>
      <c r="L9" s="566">
        <f>J9*K9</f>
        <v>62300.625</v>
      </c>
    </row>
    <row r="10" spans="1:12" ht="15.75" hidden="1">
      <c r="A10" s="389"/>
      <c r="B10" s="562"/>
      <c r="C10" s="562"/>
      <c r="D10" s="564"/>
      <c r="E10" s="564"/>
      <c r="F10" s="564">
        <f>ROUND(D10*E10/100/12*1.15*5.5,2)</f>
        <v>0</v>
      </c>
      <c r="G10" s="564">
        <f>ROUND(D10*E10/100/12*6.5,2)</f>
        <v>0</v>
      </c>
      <c r="H10" s="564">
        <f>F10+G10</f>
        <v>0</v>
      </c>
      <c r="I10" s="564"/>
      <c r="J10" s="564">
        <f>H10+I10</f>
        <v>0</v>
      </c>
      <c r="K10" s="565"/>
      <c r="L10" s="566">
        <f>J10*K10</f>
        <v>0</v>
      </c>
    </row>
    <row r="11" spans="1:12" ht="15.75">
      <c r="A11" s="1031" t="s">
        <v>568</v>
      </c>
      <c r="B11" s="1032"/>
      <c r="C11" s="1032"/>
      <c r="D11" s="1032"/>
      <c r="E11" s="1032"/>
      <c r="F11" s="1032"/>
      <c r="G11" s="1032"/>
      <c r="H11" s="1032"/>
      <c r="I11" s="1032"/>
      <c r="J11" s="1032"/>
      <c r="K11" s="1033"/>
      <c r="L11" s="567">
        <f>SUM(L7:L10)</f>
        <v>141113.325</v>
      </c>
    </row>
    <row r="12" spans="2:12" ht="15.75">
      <c r="B12" s="568"/>
      <c r="C12" s="568"/>
      <c r="D12" s="569"/>
      <c r="K12" s="410"/>
      <c r="L12" s="410"/>
    </row>
    <row r="13" spans="2:12" ht="15.75">
      <c r="B13" s="1034" t="s">
        <v>1031</v>
      </c>
      <c r="C13" s="1034"/>
      <c r="D13" s="1034"/>
      <c r="E13" s="1034"/>
      <c r="K13" s="410"/>
      <c r="L13" s="410"/>
    </row>
    <row r="14" spans="1:12" s="500" customFormat="1" ht="63">
      <c r="A14" s="391" t="s">
        <v>556</v>
      </c>
      <c r="B14" s="391" t="s">
        <v>1016</v>
      </c>
      <c r="C14" s="391" t="s">
        <v>1032</v>
      </c>
      <c r="D14" s="391" t="s">
        <v>1033</v>
      </c>
      <c r="E14" s="391" t="s">
        <v>1034</v>
      </c>
      <c r="F14" s="391" t="s">
        <v>833</v>
      </c>
      <c r="G14" s="391" t="s">
        <v>295</v>
      </c>
      <c r="I14" s="401"/>
      <c r="J14" s="401"/>
      <c r="K14" s="570"/>
      <c r="L14" s="570"/>
    </row>
    <row r="15" spans="1:12" s="500" customFormat="1" ht="15.75">
      <c r="A15" s="927">
        <v>1</v>
      </c>
      <c r="B15" s="562" t="s">
        <v>874</v>
      </c>
      <c r="C15" s="391"/>
      <c r="D15" s="391"/>
      <c r="E15" s="571">
        <f>SUM(E16:E19)</f>
        <v>76</v>
      </c>
      <c r="F15" s="571"/>
      <c r="G15" s="572">
        <f>SUM(G16:G19)</f>
        <v>5503.549999999999</v>
      </c>
      <c r="H15" s="705">
        <f>G16+G21</f>
        <v>4463.58</v>
      </c>
      <c r="I15" s="573"/>
      <c r="J15" s="573"/>
      <c r="K15" s="570"/>
      <c r="L15" s="570"/>
    </row>
    <row r="16" spans="1:12" ht="15.75">
      <c r="A16" s="1029"/>
      <c r="B16" s="574" t="s">
        <v>1035</v>
      </c>
      <c r="C16" s="389">
        <f>$H$7</f>
        <v>2500.5</v>
      </c>
      <c r="D16" s="389">
        <v>2.4</v>
      </c>
      <c r="E16" s="389">
        <f>ROUND((C16*D16/100),0)</f>
        <v>60</v>
      </c>
      <c r="F16" s="553">
        <v>65.83</v>
      </c>
      <c r="G16" s="575">
        <f>F16*E16</f>
        <v>3949.7999999999997</v>
      </c>
      <c r="H16" s="706">
        <f>G17+G22</f>
        <v>750</v>
      </c>
      <c r="I16" s="576"/>
      <c r="J16" s="576"/>
      <c r="K16" s="410"/>
      <c r="L16" s="410"/>
    </row>
    <row r="17" spans="1:12" ht="15.75">
      <c r="A17" s="1029"/>
      <c r="B17" s="574" t="s">
        <v>1036</v>
      </c>
      <c r="C17" s="389">
        <f>$H$7</f>
        <v>2500.5</v>
      </c>
      <c r="D17" s="389">
        <v>0.3</v>
      </c>
      <c r="E17" s="389">
        <f>ROUND((C17*D17/100),0)</f>
        <v>8</v>
      </c>
      <c r="F17" s="553">
        <v>93.75</v>
      </c>
      <c r="G17" s="575">
        <f>F17*E17</f>
        <v>750</v>
      </c>
      <c r="H17" s="706">
        <f>G18+G23</f>
        <v>213</v>
      </c>
      <c r="I17" s="576"/>
      <c r="J17" s="576"/>
      <c r="K17" s="410"/>
      <c r="L17" s="410"/>
    </row>
    <row r="18" spans="1:12" ht="15.75">
      <c r="A18" s="1029"/>
      <c r="B18" s="574" t="s">
        <v>1037</v>
      </c>
      <c r="C18" s="389">
        <f>$H$7</f>
        <v>2500.5</v>
      </c>
      <c r="D18" s="389">
        <v>0.1</v>
      </c>
      <c r="E18" s="389">
        <f>ROUND((C18*D18/100),0)</f>
        <v>3</v>
      </c>
      <c r="F18" s="553">
        <v>71</v>
      </c>
      <c r="G18" s="575">
        <f>F18*E18</f>
        <v>213</v>
      </c>
      <c r="H18" s="706">
        <f>G19+G24</f>
        <v>590.75</v>
      </c>
      <c r="I18" s="576"/>
      <c r="J18" s="576"/>
      <c r="K18" s="410"/>
      <c r="L18" s="410"/>
    </row>
    <row r="19" spans="1:12" ht="15.75">
      <c r="A19" s="1030"/>
      <c r="B19" s="574" t="s">
        <v>178</v>
      </c>
      <c r="C19" s="389">
        <f>$H$7</f>
        <v>2500.5</v>
      </c>
      <c r="D19" s="389">
        <v>0.2</v>
      </c>
      <c r="E19" s="389">
        <f>ROUND((C19*D19/100),0)</f>
        <v>5</v>
      </c>
      <c r="F19" s="553">
        <v>118.15</v>
      </c>
      <c r="G19" s="575">
        <f>F19*E19</f>
        <v>590.75</v>
      </c>
      <c r="I19" s="576"/>
      <c r="J19" s="576"/>
      <c r="K19" s="410"/>
      <c r="L19" s="410"/>
    </row>
    <row r="20" spans="1:12" ht="15.75">
      <c r="A20" s="927">
        <v>2</v>
      </c>
      <c r="B20" s="562" t="s">
        <v>1028</v>
      </c>
      <c r="C20" s="389"/>
      <c r="D20" s="389"/>
      <c r="E20" s="571">
        <f>SUM(E21:E24)</f>
        <v>3</v>
      </c>
      <c r="F20" s="571"/>
      <c r="G20" s="572">
        <f>SUM(G21:G24)</f>
        <v>513.78</v>
      </c>
      <c r="I20" s="573"/>
      <c r="J20" s="573"/>
      <c r="K20" s="410"/>
      <c r="L20" s="410"/>
    </row>
    <row r="21" spans="1:12" ht="15.75">
      <c r="A21" s="1029"/>
      <c r="B21" s="574" t="s">
        <v>1035</v>
      </c>
      <c r="C21" s="389">
        <f>$H$8</f>
        <v>126.59</v>
      </c>
      <c r="D21" s="389">
        <v>2.4</v>
      </c>
      <c r="E21" s="389">
        <f>ROUND((C21*D21/100),0)</f>
        <v>3</v>
      </c>
      <c r="F21" s="553">
        <v>171.26</v>
      </c>
      <c r="G21" s="575">
        <f>F21*E21</f>
        <v>513.78</v>
      </c>
      <c r="I21" s="576"/>
      <c r="J21" s="576"/>
      <c r="K21" s="410"/>
      <c r="L21" s="410"/>
    </row>
    <row r="22" spans="1:12" ht="15.75">
      <c r="A22" s="1029"/>
      <c r="B22" s="574" t="s">
        <v>1036</v>
      </c>
      <c r="C22" s="389">
        <f>$H$8</f>
        <v>126.59</v>
      </c>
      <c r="D22" s="389">
        <v>0.3</v>
      </c>
      <c r="E22" s="389">
        <f>ROUND((C22*D22/100),0)</f>
        <v>0</v>
      </c>
      <c r="F22" s="553">
        <v>93.75</v>
      </c>
      <c r="G22" s="575">
        <f>F22*E22</f>
        <v>0</v>
      </c>
      <c r="I22" s="576"/>
      <c r="J22" s="576"/>
      <c r="K22" s="410"/>
      <c r="L22" s="410"/>
    </row>
    <row r="23" spans="1:12" ht="15.75">
      <c r="A23" s="1029"/>
      <c r="B23" s="574" t="s">
        <v>1037</v>
      </c>
      <c r="C23" s="389">
        <f>$H$8</f>
        <v>126.59</v>
      </c>
      <c r="D23" s="389">
        <v>0.1</v>
      </c>
      <c r="E23" s="389">
        <f>ROUND((C23*D23/100),0)</f>
        <v>0</v>
      </c>
      <c r="F23" s="553">
        <v>71</v>
      </c>
      <c r="G23" s="575">
        <f>F23*E23</f>
        <v>0</v>
      </c>
      <c r="I23" s="576"/>
      <c r="J23" s="576"/>
      <c r="K23" s="410"/>
      <c r="L23" s="410"/>
    </row>
    <row r="24" spans="1:12" ht="15.75">
      <c r="A24" s="1030"/>
      <c r="B24" s="574" t="s">
        <v>178</v>
      </c>
      <c r="C24" s="389">
        <f>$H$8</f>
        <v>126.59</v>
      </c>
      <c r="D24" s="389">
        <v>0.2</v>
      </c>
      <c r="E24" s="389">
        <f>ROUND((C24*D24/100),0)</f>
        <v>0</v>
      </c>
      <c r="F24" s="553">
        <v>118.15</v>
      </c>
      <c r="G24" s="575">
        <f>F24*E24</f>
        <v>0</v>
      </c>
      <c r="I24" s="576"/>
      <c r="J24" s="576"/>
      <c r="K24" s="410"/>
      <c r="L24" s="410"/>
    </row>
    <row r="25" spans="1:12" ht="15.75" hidden="1">
      <c r="A25" s="927">
        <v>4</v>
      </c>
      <c r="B25" s="562"/>
      <c r="C25" s="389"/>
      <c r="D25" s="389"/>
      <c r="E25" s="571">
        <f>SUM(E26:E29)</f>
        <v>0</v>
      </c>
      <c r="F25" s="571"/>
      <c r="G25" s="572">
        <f>SUM(G26:G29)</f>
        <v>0</v>
      </c>
      <c r="I25" s="573"/>
      <c r="J25" s="573"/>
      <c r="K25" s="410"/>
      <c r="L25" s="410"/>
    </row>
    <row r="26" spans="1:12" ht="15.75" hidden="1">
      <c r="A26" s="1029"/>
      <c r="B26" s="574"/>
      <c r="C26" s="389">
        <v>0</v>
      </c>
      <c r="D26" s="389"/>
      <c r="E26" s="389">
        <f>ROUND((C26*D26/100),0)</f>
        <v>0</v>
      </c>
      <c r="F26" s="553"/>
      <c r="G26" s="575">
        <f>F26*E26</f>
        <v>0</v>
      </c>
      <c r="I26" s="576"/>
      <c r="J26" s="576"/>
      <c r="K26" s="410"/>
      <c r="L26" s="410"/>
    </row>
    <row r="27" spans="1:12" ht="15.75" hidden="1">
      <c r="A27" s="1029"/>
      <c r="B27" s="574"/>
      <c r="C27" s="389">
        <v>0</v>
      </c>
      <c r="D27" s="389"/>
      <c r="E27" s="389">
        <f>ROUND((C27*D27/100),0)</f>
        <v>0</v>
      </c>
      <c r="F27" s="553"/>
      <c r="G27" s="575">
        <f>F27*E27</f>
        <v>0</v>
      </c>
      <c r="I27" s="576"/>
      <c r="J27" s="576"/>
      <c r="K27" s="410"/>
      <c r="L27" s="410"/>
    </row>
    <row r="28" spans="1:12" ht="15.75" hidden="1">
      <c r="A28" s="1029"/>
      <c r="B28" s="574"/>
      <c r="C28" s="389">
        <v>0</v>
      </c>
      <c r="D28" s="389"/>
      <c r="E28" s="389">
        <f>ROUND((C28*D28/100),0)</f>
        <v>0</v>
      </c>
      <c r="F28" s="553"/>
      <c r="G28" s="575">
        <f>F28*E28</f>
        <v>0</v>
      </c>
      <c r="I28" s="576"/>
      <c r="J28" s="576"/>
      <c r="K28" s="410"/>
      <c r="L28" s="410"/>
    </row>
    <row r="29" spans="1:12" ht="15.75" hidden="1">
      <c r="A29" s="1030"/>
      <c r="B29" s="574"/>
      <c r="C29" s="389">
        <v>0</v>
      </c>
      <c r="D29" s="389"/>
      <c r="E29" s="389">
        <f>ROUND((C29*D29/100),0)</f>
        <v>0</v>
      </c>
      <c r="F29" s="553"/>
      <c r="G29" s="575">
        <f>F29*E29</f>
        <v>0</v>
      </c>
      <c r="I29" s="576"/>
      <c r="J29" s="576"/>
      <c r="K29" s="410"/>
      <c r="L29" s="410"/>
    </row>
    <row r="30" spans="1:12" ht="15.75" hidden="1">
      <c r="A30" s="927">
        <v>5</v>
      </c>
      <c r="B30" s="562"/>
      <c r="C30" s="389"/>
      <c r="D30" s="389"/>
      <c r="E30" s="571">
        <f>SUM(E31:E34)</f>
        <v>0</v>
      </c>
      <c r="F30" s="571"/>
      <c r="G30" s="572">
        <f>SUM(G31:G34)</f>
        <v>0</v>
      </c>
      <c r="I30" s="573"/>
      <c r="J30" s="573"/>
      <c r="K30" s="410"/>
      <c r="L30" s="410"/>
    </row>
    <row r="31" spans="1:12" ht="15.75" hidden="1">
      <c r="A31" s="1029"/>
      <c r="B31" s="574"/>
      <c r="C31" s="389">
        <f>$H$10</f>
        <v>0</v>
      </c>
      <c r="D31" s="389"/>
      <c r="E31" s="389">
        <f>ROUND((C31*D31/100),0)</f>
        <v>0</v>
      </c>
      <c r="F31" s="553"/>
      <c r="G31" s="575">
        <f>F31*E31</f>
        <v>0</v>
      </c>
      <c r="I31" s="576"/>
      <c r="J31" s="576"/>
      <c r="K31" s="410"/>
      <c r="L31" s="410"/>
    </row>
    <row r="32" spans="1:12" ht="15.75" hidden="1">
      <c r="A32" s="1029"/>
      <c r="B32" s="574"/>
      <c r="C32" s="389">
        <f>$H$10</f>
        <v>0</v>
      </c>
      <c r="D32" s="389"/>
      <c r="E32" s="389">
        <f>ROUND((C32*D32/100),0)</f>
        <v>0</v>
      </c>
      <c r="F32" s="553"/>
      <c r="G32" s="575">
        <f>F32*E32</f>
        <v>0</v>
      </c>
      <c r="I32" s="576"/>
      <c r="J32" s="576"/>
      <c r="K32" s="410"/>
      <c r="L32" s="410"/>
    </row>
    <row r="33" spans="1:12" ht="15.75" hidden="1">
      <c r="A33" s="1029"/>
      <c r="B33" s="574"/>
      <c r="C33" s="389">
        <f>$H$10</f>
        <v>0</v>
      </c>
      <c r="D33" s="389"/>
      <c r="E33" s="389">
        <f>ROUND((C33*D33/100),0)</f>
        <v>0</v>
      </c>
      <c r="F33" s="553"/>
      <c r="G33" s="575">
        <f>F33*E33</f>
        <v>0</v>
      </c>
      <c r="I33" s="576"/>
      <c r="J33" s="576"/>
      <c r="K33" s="410"/>
      <c r="L33" s="410"/>
    </row>
    <row r="34" spans="1:12" ht="15.75" hidden="1">
      <c r="A34" s="1030"/>
      <c r="B34" s="574"/>
      <c r="C34" s="389">
        <f>$H$10</f>
        <v>0</v>
      </c>
      <c r="D34" s="389"/>
      <c r="E34" s="389">
        <f>ROUND((C34*D34/100),0)</f>
        <v>0</v>
      </c>
      <c r="F34" s="553"/>
      <c r="G34" s="575">
        <f>F34*E34</f>
        <v>0</v>
      </c>
      <c r="H34" s="405"/>
      <c r="I34" s="576"/>
      <c r="J34" s="576"/>
      <c r="K34" s="410"/>
      <c r="L34" s="410"/>
    </row>
    <row r="35" spans="1:12" ht="15.75" customHeight="1">
      <c r="A35" s="1031" t="s">
        <v>568</v>
      </c>
      <c r="B35" s="1032"/>
      <c r="C35" s="1032"/>
      <c r="D35" s="1032"/>
      <c r="E35" s="1032"/>
      <c r="F35" s="1033"/>
      <c r="G35" s="453">
        <f>G30+G25+G20+G15</f>
        <v>6017.329999999999</v>
      </c>
      <c r="H35" s="577"/>
      <c r="I35" s="577"/>
      <c r="J35" s="577"/>
      <c r="K35" s="410"/>
      <c r="L35" s="410"/>
    </row>
    <row r="36" spans="7:12" ht="15.75" hidden="1">
      <c r="G36" s="410"/>
      <c r="H36" s="576"/>
      <c r="I36" s="410"/>
      <c r="J36" s="410"/>
      <c r="K36" s="410"/>
      <c r="L36" s="410"/>
    </row>
    <row r="37" spans="4:12" ht="15.75" hidden="1">
      <c r="D37" s="964"/>
      <c r="E37" s="1027"/>
      <c r="F37" s="1027"/>
      <c r="G37" s="578"/>
      <c r="H37" s="576"/>
      <c r="I37" s="410"/>
      <c r="J37" s="410"/>
      <c r="K37" s="410"/>
      <c r="L37" s="410"/>
    </row>
    <row r="38" spans="4:12" ht="15.75" hidden="1">
      <c r="D38" s="964"/>
      <c r="E38" s="1027"/>
      <c r="F38" s="1027"/>
      <c r="G38" s="578"/>
      <c r="H38" s="576"/>
      <c r="I38" s="410"/>
      <c r="J38" s="410"/>
      <c r="K38" s="410"/>
      <c r="L38" s="410"/>
    </row>
    <row r="39" spans="4:12" ht="15.75" hidden="1">
      <c r="D39" s="964"/>
      <c r="E39" s="1027"/>
      <c r="F39" s="1027"/>
      <c r="G39" s="578"/>
      <c r="H39" s="576"/>
      <c r="I39" s="410"/>
      <c r="J39" s="410"/>
      <c r="K39" s="410"/>
      <c r="L39" s="410"/>
    </row>
    <row r="40" spans="4:12" ht="15.75" hidden="1">
      <c r="D40" s="964"/>
      <c r="E40" s="1027"/>
      <c r="F40" s="1027"/>
      <c r="G40" s="578"/>
      <c r="H40" s="576"/>
      <c r="I40" s="410"/>
      <c r="J40" s="410"/>
      <c r="K40" s="410"/>
      <c r="L40" s="410"/>
    </row>
    <row r="41" spans="2:12" ht="15.75">
      <c r="B41" s="579"/>
      <c r="C41" s="579"/>
      <c r="K41" s="410"/>
      <c r="L41" s="410"/>
    </row>
    <row r="42" spans="2:12" ht="15.75">
      <c r="B42" s="1028" t="s">
        <v>1038</v>
      </c>
      <c r="C42" s="1028"/>
      <c r="D42" s="1028"/>
      <c r="E42" s="1028"/>
      <c r="F42" s="1028"/>
      <c r="G42" s="580">
        <f>G35+L11</f>
        <v>147130.655</v>
      </c>
      <c r="H42" s="581" t="s">
        <v>709</v>
      </c>
      <c r="I42" s="581"/>
      <c r="J42" s="581"/>
      <c r="K42" s="410"/>
      <c r="L42" s="410"/>
    </row>
    <row r="43" spans="11:12" s="449" customFormat="1" ht="24" customHeight="1">
      <c r="K43" s="962"/>
      <c r="L43" s="963"/>
    </row>
    <row r="44" spans="4:12" s="449" customFormat="1" ht="15.75">
      <c r="D44" s="459"/>
      <c r="L44" s="435"/>
    </row>
    <row r="45" spans="4:12" s="449" customFormat="1" ht="15.75">
      <c r="D45" s="459"/>
      <c r="L45" s="410"/>
    </row>
    <row r="46" spans="4:12" s="449" customFormat="1" ht="15.75">
      <c r="D46" s="459"/>
      <c r="K46" s="962"/>
      <c r="L46" s="963"/>
    </row>
    <row r="47" s="449" customFormat="1" ht="15.75">
      <c r="D47" s="459"/>
    </row>
    <row r="48" s="449" customFormat="1" ht="15.75">
      <c r="D48" s="459"/>
    </row>
    <row r="49" s="449" customFormat="1" ht="15.75">
      <c r="D49" s="459"/>
    </row>
  </sheetData>
  <sheetProtection/>
  <mergeCells count="18">
    <mergeCell ref="A1:L1"/>
    <mergeCell ref="A2:L2"/>
    <mergeCell ref="A3:L3"/>
    <mergeCell ref="B5:E5"/>
    <mergeCell ref="A11:K11"/>
    <mergeCell ref="B13:E13"/>
    <mergeCell ref="A15:A19"/>
    <mergeCell ref="A20:A24"/>
    <mergeCell ref="A25:A29"/>
    <mergeCell ref="A30:A34"/>
    <mergeCell ref="A35:F35"/>
    <mergeCell ref="D37:F37"/>
    <mergeCell ref="D38:F38"/>
    <mergeCell ref="D39:F39"/>
    <mergeCell ref="D40:F40"/>
    <mergeCell ref="B42:F42"/>
    <mergeCell ref="K43:L43"/>
    <mergeCell ref="K46:L46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zoomScalePageLayoutView="0" workbookViewId="0" topLeftCell="A19">
      <selection activeCell="H77" sqref="H77"/>
    </sheetView>
  </sheetViews>
  <sheetFormatPr defaultColWidth="9.00390625" defaultRowHeight="12.75"/>
  <cols>
    <col min="1" max="1" width="5.625" style="587" customWidth="1"/>
    <col min="2" max="2" width="43.00390625" style="610" customWidth="1"/>
    <col min="3" max="3" width="8.125" style="587" bestFit="1" customWidth="1"/>
    <col min="4" max="4" width="9.25390625" style="587" customWidth="1"/>
    <col min="5" max="5" width="12.25390625" style="611" customWidth="1"/>
    <col min="6" max="6" width="17.00390625" style="611" customWidth="1"/>
    <col min="7" max="7" width="10.125" style="587" bestFit="1" customWidth="1"/>
    <col min="8" max="16384" width="9.125" style="587" customWidth="1"/>
  </cols>
  <sheetData>
    <row r="1" spans="1:6" ht="18.75">
      <c r="A1" s="862" t="s">
        <v>742</v>
      </c>
      <c r="B1" s="862"/>
      <c r="C1" s="862"/>
      <c r="D1" s="862"/>
      <c r="E1" s="862"/>
      <c r="F1" s="862"/>
    </row>
    <row r="2" spans="1:6" ht="15.75">
      <c r="A2" s="862" t="s">
        <v>656</v>
      </c>
      <c r="B2" s="862"/>
      <c r="C2" s="862"/>
      <c r="D2" s="862"/>
      <c r="E2" s="862"/>
      <c r="F2" s="862"/>
    </row>
    <row r="3" spans="1:6" ht="15.75">
      <c r="A3" s="337"/>
      <c r="B3" s="458"/>
      <c r="C3" s="582" t="s">
        <v>902</v>
      </c>
      <c r="D3" s="337"/>
      <c r="E3" s="459"/>
      <c r="F3" s="459"/>
    </row>
    <row r="4" spans="1:6" ht="15.75">
      <c r="A4" s="1046"/>
      <c r="B4" s="1046"/>
      <c r="C4" s="1046"/>
      <c r="D4" s="1046"/>
      <c r="E4" s="1046"/>
      <c r="F4" s="1046"/>
    </row>
    <row r="5" spans="1:6" ht="15.75">
      <c r="A5" s="337"/>
      <c r="B5" s="458"/>
      <c r="C5" s="337"/>
      <c r="D5" s="337"/>
      <c r="E5" s="459"/>
      <c r="F5" s="459"/>
    </row>
    <row r="6" spans="1:6" ht="15.75">
      <c r="A6" s="389" t="s">
        <v>305</v>
      </c>
      <c r="B6" s="389" t="s">
        <v>2</v>
      </c>
      <c r="C6" s="389" t="s">
        <v>908</v>
      </c>
      <c r="D6" s="389" t="s">
        <v>880</v>
      </c>
      <c r="E6" s="553" t="s">
        <v>833</v>
      </c>
      <c r="F6" s="553" t="s">
        <v>295</v>
      </c>
    </row>
    <row r="7" spans="1:10" ht="15.75">
      <c r="A7" s="1041" t="s">
        <v>1087</v>
      </c>
      <c r="B7" s="1042"/>
      <c r="C7" s="1042"/>
      <c r="D7" s="1042"/>
      <c r="E7" s="1042"/>
      <c r="F7" s="614">
        <f>SUM(F8:F10)</f>
        <v>4844.7</v>
      </c>
      <c r="G7" s="612"/>
      <c r="H7" s="613"/>
      <c r="I7" s="613"/>
      <c r="J7" s="613"/>
    </row>
    <row r="8" spans="1:10" ht="15.75">
      <c r="A8" s="391">
        <v>1</v>
      </c>
      <c r="B8" s="562" t="s">
        <v>1088</v>
      </c>
      <c r="C8" s="389" t="s">
        <v>789</v>
      </c>
      <c r="D8" s="472">
        <v>30</v>
      </c>
      <c r="E8" s="473">
        <v>32.17</v>
      </c>
      <c r="F8" s="595">
        <f>D8*E8</f>
        <v>965.1</v>
      </c>
      <c r="G8" s="613"/>
      <c r="H8" s="613"/>
      <c r="I8" s="613"/>
      <c r="J8" s="613"/>
    </row>
    <row r="9" spans="1:10" ht="31.5">
      <c r="A9" s="391">
        <f>A8+1</f>
        <v>2</v>
      </c>
      <c r="B9" s="562" t="s">
        <v>1089</v>
      </c>
      <c r="C9" s="389" t="s">
        <v>1090</v>
      </c>
      <c r="D9" s="472">
        <v>45</v>
      </c>
      <c r="E9" s="473">
        <v>39.6</v>
      </c>
      <c r="F9" s="595">
        <f>D9*E9</f>
        <v>1782</v>
      </c>
      <c r="G9" s="613"/>
      <c r="H9" s="613"/>
      <c r="I9" s="613"/>
      <c r="J9" s="613"/>
    </row>
    <row r="10" spans="1:10" ht="15.75">
      <c r="A10" s="391">
        <f>A9+1</f>
        <v>3</v>
      </c>
      <c r="B10" s="562" t="s">
        <v>1091</v>
      </c>
      <c r="C10" s="389" t="s">
        <v>1090</v>
      </c>
      <c r="D10" s="472">
        <v>60</v>
      </c>
      <c r="E10" s="473">
        <v>34.96</v>
      </c>
      <c r="F10" s="595">
        <f>D10*E10</f>
        <v>2097.6</v>
      </c>
      <c r="G10" s="613"/>
      <c r="H10" s="613"/>
      <c r="I10" s="613"/>
      <c r="J10" s="613"/>
    </row>
    <row r="11" spans="1:10" ht="15.75">
      <c r="A11" s="1041" t="s">
        <v>1092</v>
      </c>
      <c r="B11" s="1042"/>
      <c r="C11" s="1042"/>
      <c r="D11" s="1042"/>
      <c r="E11" s="1043"/>
      <c r="F11" s="615">
        <f>F12</f>
        <v>475.32</v>
      </c>
      <c r="G11" s="612"/>
      <c r="H11" s="613"/>
      <c r="I11" s="613"/>
      <c r="J11" s="613"/>
    </row>
    <row r="12" spans="1:10" ht="15.75">
      <c r="A12" s="389">
        <v>1</v>
      </c>
      <c r="B12" s="562" t="s">
        <v>1093</v>
      </c>
      <c r="C12" s="389" t="s">
        <v>1094</v>
      </c>
      <c r="D12" s="472">
        <v>3</v>
      </c>
      <c r="E12" s="473">
        <v>158.44</v>
      </c>
      <c r="F12" s="595">
        <f>D12*E12</f>
        <v>475.32</v>
      </c>
      <c r="G12" s="613"/>
      <c r="H12" s="613"/>
      <c r="I12" s="613"/>
      <c r="J12" s="613"/>
    </row>
    <row r="13" spans="1:10" ht="15.75">
      <c r="A13" s="1044" t="s">
        <v>1095</v>
      </c>
      <c r="B13" s="1045"/>
      <c r="C13" s="1045"/>
      <c r="D13" s="1045"/>
      <c r="E13" s="1045"/>
      <c r="F13" s="616">
        <f>SUM(F14:F15)</f>
        <v>739.53</v>
      </c>
      <c r="G13" s="612"/>
      <c r="H13" s="613"/>
      <c r="I13" s="613"/>
      <c r="J13" s="613"/>
    </row>
    <row r="14" spans="1:10" ht="31.5">
      <c r="A14" s="391">
        <v>1</v>
      </c>
      <c r="B14" s="596" t="s">
        <v>1096</v>
      </c>
      <c r="C14" s="391" t="s">
        <v>789</v>
      </c>
      <c r="D14" s="389">
        <v>7</v>
      </c>
      <c r="E14" s="553">
        <v>44.55</v>
      </c>
      <c r="F14" s="595">
        <f>D14*E14</f>
        <v>311.84999999999997</v>
      </c>
      <c r="G14" s="613"/>
      <c r="H14" s="613"/>
      <c r="I14" s="613"/>
      <c r="J14" s="613"/>
    </row>
    <row r="15" spans="1:10" ht="31.5">
      <c r="A15" s="391">
        <v>2</v>
      </c>
      <c r="B15" s="596" t="s">
        <v>1097</v>
      </c>
      <c r="C15" s="391" t="s">
        <v>789</v>
      </c>
      <c r="D15" s="389">
        <v>9</v>
      </c>
      <c r="E15" s="553">
        <v>47.52</v>
      </c>
      <c r="F15" s="595">
        <f>D15*E15</f>
        <v>427.68</v>
      </c>
      <c r="G15" s="613"/>
      <c r="H15" s="613"/>
      <c r="I15" s="613"/>
      <c r="J15" s="613"/>
    </row>
    <row r="16" spans="1:10" ht="15.75">
      <c r="A16" s="1041" t="s">
        <v>1098</v>
      </c>
      <c r="B16" s="1042"/>
      <c r="C16" s="1042"/>
      <c r="D16" s="1042"/>
      <c r="E16" s="1043"/>
      <c r="F16" s="615">
        <f>SUM(F17:F20)</f>
        <v>24631</v>
      </c>
      <c r="G16" s="612"/>
      <c r="H16" s="613"/>
      <c r="I16" s="613"/>
      <c r="J16" s="613"/>
    </row>
    <row r="17" spans="1:10" ht="31.5">
      <c r="A17" s="391">
        <v>1</v>
      </c>
      <c r="B17" s="596" t="s">
        <v>1099</v>
      </c>
      <c r="C17" s="391" t="s">
        <v>1094</v>
      </c>
      <c r="D17" s="436">
        <v>500</v>
      </c>
      <c r="E17" s="553">
        <v>17.82</v>
      </c>
      <c r="F17" s="595">
        <f>D17*E17</f>
        <v>8910</v>
      </c>
      <c r="G17" s="613"/>
      <c r="H17" s="613"/>
      <c r="I17" s="613"/>
      <c r="J17" s="613"/>
    </row>
    <row r="18" spans="1:10" ht="31.5">
      <c r="A18" s="391">
        <f>A17+1</f>
        <v>2</v>
      </c>
      <c r="B18" s="596" t="s">
        <v>1100</v>
      </c>
      <c r="C18" s="391" t="s">
        <v>1090</v>
      </c>
      <c r="D18" s="389">
        <v>50</v>
      </c>
      <c r="E18" s="553">
        <v>102.96</v>
      </c>
      <c r="F18" s="595">
        <f>D18*E18</f>
        <v>5148</v>
      </c>
      <c r="G18" s="613"/>
      <c r="H18" s="613"/>
      <c r="I18" s="613"/>
      <c r="J18" s="613"/>
    </row>
    <row r="19" spans="1:10" ht="31.5">
      <c r="A19" s="391">
        <f>A18+1</f>
        <v>3</v>
      </c>
      <c r="B19" s="596" t="s">
        <v>1101</v>
      </c>
      <c r="C19" s="391" t="s">
        <v>1090</v>
      </c>
      <c r="D19" s="389">
        <v>50</v>
      </c>
      <c r="E19" s="553">
        <v>64.35</v>
      </c>
      <c r="F19" s="595">
        <f>D19*E19</f>
        <v>3217.4999999999995</v>
      </c>
      <c r="G19" s="613"/>
      <c r="H19" s="613"/>
      <c r="I19" s="613"/>
      <c r="J19" s="613"/>
    </row>
    <row r="20" spans="1:10" ht="15.75">
      <c r="A20" s="391">
        <v>4</v>
      </c>
      <c r="B20" s="596" t="s">
        <v>1102</v>
      </c>
      <c r="C20" s="391" t="s">
        <v>1094</v>
      </c>
      <c r="D20" s="389">
        <v>50</v>
      </c>
      <c r="E20" s="553">
        <f>125.3+21.81</f>
        <v>147.10999999999999</v>
      </c>
      <c r="F20" s="595">
        <f>D20*E20</f>
        <v>7355.499999999999</v>
      </c>
      <c r="G20" s="613"/>
      <c r="H20" s="613"/>
      <c r="I20" s="613"/>
      <c r="J20" s="613"/>
    </row>
    <row r="21" spans="1:10" ht="15.75">
      <c r="A21" s="1044" t="s">
        <v>1103</v>
      </c>
      <c r="B21" s="1045"/>
      <c r="C21" s="1045"/>
      <c r="D21" s="1045"/>
      <c r="E21" s="1045"/>
      <c r="F21" s="616">
        <f>F23+F24+F25+F26+F27+F28+F29+F30+F31+F32+F22</f>
        <v>35611.5</v>
      </c>
      <c r="G21" s="612"/>
      <c r="H21" s="613"/>
      <c r="I21" s="613"/>
      <c r="J21" s="613"/>
    </row>
    <row r="22" spans="1:10" ht="31.5">
      <c r="A22" s="391">
        <v>1</v>
      </c>
      <c r="B22" s="463" t="s">
        <v>1104</v>
      </c>
      <c r="C22" s="448" t="s">
        <v>749</v>
      </c>
      <c r="D22" s="597">
        <v>50</v>
      </c>
      <c r="E22" s="597">
        <v>14.85</v>
      </c>
      <c r="F22" s="598">
        <f>D22*E22</f>
        <v>742.5</v>
      </c>
      <c r="G22" s="613"/>
      <c r="H22" s="613"/>
      <c r="I22" s="613"/>
      <c r="J22" s="613"/>
    </row>
    <row r="23" spans="1:10" ht="31.5">
      <c r="A23" s="391">
        <f>A22+1</f>
        <v>2</v>
      </c>
      <c r="B23" s="463" t="s">
        <v>1105</v>
      </c>
      <c r="C23" s="448" t="s">
        <v>749</v>
      </c>
      <c r="D23" s="597">
        <v>50</v>
      </c>
      <c r="E23" s="597">
        <v>33.26</v>
      </c>
      <c r="F23" s="598">
        <f aca="true" t="shared" si="0" ref="F23:F32">D23*E23</f>
        <v>1663</v>
      </c>
      <c r="G23" s="613"/>
      <c r="H23" s="613"/>
      <c r="I23" s="613"/>
      <c r="J23" s="613"/>
    </row>
    <row r="24" spans="1:6" ht="15.75">
      <c r="A24" s="391">
        <f aca="true" t="shared" si="1" ref="A24:A30">A23+1</f>
        <v>3</v>
      </c>
      <c r="B24" s="463" t="s">
        <v>1106</v>
      </c>
      <c r="C24" s="448" t="s">
        <v>749</v>
      </c>
      <c r="D24" s="597">
        <v>100</v>
      </c>
      <c r="E24" s="597">
        <v>34.65</v>
      </c>
      <c r="F24" s="598">
        <f t="shared" si="0"/>
        <v>3465</v>
      </c>
    </row>
    <row r="25" spans="1:6" ht="15.75">
      <c r="A25" s="391">
        <f t="shared" si="1"/>
        <v>4</v>
      </c>
      <c r="B25" s="463" t="s">
        <v>1107</v>
      </c>
      <c r="C25" s="448" t="s">
        <v>749</v>
      </c>
      <c r="D25" s="597">
        <v>365</v>
      </c>
      <c r="E25" s="597">
        <v>27.6</v>
      </c>
      <c r="F25" s="598">
        <f t="shared" si="0"/>
        <v>10074</v>
      </c>
    </row>
    <row r="26" spans="1:6" ht="31.5" hidden="1">
      <c r="A26" s="391">
        <f t="shared" si="1"/>
        <v>5</v>
      </c>
      <c r="B26" s="463" t="s">
        <v>1108</v>
      </c>
      <c r="C26" s="448" t="s">
        <v>749</v>
      </c>
      <c r="D26" s="599"/>
      <c r="E26" s="597">
        <v>24.49</v>
      </c>
      <c r="F26" s="598">
        <f t="shared" si="0"/>
        <v>0</v>
      </c>
    </row>
    <row r="27" spans="1:6" ht="15.75">
      <c r="A27" s="391">
        <v>5</v>
      </c>
      <c r="B27" s="463" t="s">
        <v>1109</v>
      </c>
      <c r="C27" s="448" t="s">
        <v>749</v>
      </c>
      <c r="D27" s="597">
        <v>100</v>
      </c>
      <c r="E27" s="597">
        <v>19.8</v>
      </c>
      <c r="F27" s="598">
        <f t="shared" si="0"/>
        <v>1980</v>
      </c>
    </row>
    <row r="28" spans="1:6" ht="15.75">
      <c r="A28" s="391">
        <f t="shared" si="1"/>
        <v>6</v>
      </c>
      <c r="B28" s="463" t="s">
        <v>1110</v>
      </c>
      <c r="C28" s="448" t="s">
        <v>1111</v>
      </c>
      <c r="D28" s="597">
        <v>60</v>
      </c>
      <c r="E28" s="597">
        <v>74.25</v>
      </c>
      <c r="F28" s="598">
        <f t="shared" si="0"/>
        <v>4455</v>
      </c>
    </row>
    <row r="29" spans="1:6" ht="15.75">
      <c r="A29" s="391">
        <f t="shared" si="1"/>
        <v>7</v>
      </c>
      <c r="B29" s="463" t="s">
        <v>1112</v>
      </c>
      <c r="C29" s="448" t="s">
        <v>749</v>
      </c>
      <c r="D29" s="447">
        <v>40</v>
      </c>
      <c r="E29" s="447">
        <v>9.5</v>
      </c>
      <c r="F29" s="598">
        <f t="shared" si="0"/>
        <v>380</v>
      </c>
    </row>
    <row r="30" spans="1:6" ht="15.75">
      <c r="A30" s="391">
        <f t="shared" si="1"/>
        <v>8</v>
      </c>
      <c r="B30" s="463" t="s">
        <v>1113</v>
      </c>
      <c r="C30" s="448" t="s">
        <v>749</v>
      </c>
      <c r="D30" s="447">
        <v>40</v>
      </c>
      <c r="E30" s="447">
        <v>9.5</v>
      </c>
      <c r="F30" s="598">
        <f t="shared" si="0"/>
        <v>380</v>
      </c>
    </row>
    <row r="31" spans="1:6" ht="15.75">
      <c r="A31" s="391">
        <v>9</v>
      </c>
      <c r="B31" s="562" t="s">
        <v>1114</v>
      </c>
      <c r="C31" s="389" t="s">
        <v>1094</v>
      </c>
      <c r="D31" s="472">
        <v>600</v>
      </c>
      <c r="E31" s="473">
        <v>12.87</v>
      </c>
      <c r="F31" s="598">
        <f t="shared" si="0"/>
        <v>7721.999999999999</v>
      </c>
    </row>
    <row r="32" spans="1:6" ht="15.75">
      <c r="A32" s="391">
        <v>10</v>
      </c>
      <c r="B32" s="596" t="s">
        <v>1115</v>
      </c>
      <c r="C32" s="391" t="s">
        <v>1094</v>
      </c>
      <c r="D32" s="389">
        <v>500</v>
      </c>
      <c r="E32" s="553">
        <v>9.5</v>
      </c>
      <c r="F32" s="598">
        <f t="shared" si="0"/>
        <v>4750</v>
      </c>
    </row>
    <row r="33" spans="1:7" ht="15.75">
      <c r="A33" s="339"/>
      <c r="B33" s="1026" t="s">
        <v>780</v>
      </c>
      <c r="C33" s="1026"/>
      <c r="D33" s="1026"/>
      <c r="E33" s="1026"/>
      <c r="F33" s="560">
        <f>F7+F11+F13+F16+F21</f>
        <v>66302.05</v>
      </c>
      <c r="G33" s="600"/>
    </row>
    <row r="34" spans="1:6" ht="15.75">
      <c r="A34" s="601"/>
      <c r="B34" s="602"/>
      <c r="C34" s="602"/>
      <c r="D34" s="602"/>
      <c r="E34" s="602"/>
      <c r="F34" s="603"/>
    </row>
    <row r="35" spans="1:6" ht="15.75">
      <c r="A35" s="955"/>
      <c r="B35" s="955"/>
      <c r="C35" s="320"/>
      <c r="D35" s="321"/>
      <c r="E35" s="449"/>
      <c r="F35" s="310"/>
    </row>
    <row r="36" spans="1:6" ht="15.75">
      <c r="A36" s="320"/>
      <c r="B36" s="320"/>
      <c r="C36" s="320"/>
      <c r="D36" s="534"/>
      <c r="E36" s="310"/>
      <c r="F36" s="310"/>
    </row>
    <row r="37" spans="1:7" ht="31.5" customHeight="1">
      <c r="A37" s="535"/>
      <c r="B37" s="535"/>
      <c r="C37" s="535"/>
      <c r="D37" s="535"/>
      <c r="E37" s="587"/>
      <c r="F37" s="934"/>
      <c r="G37" s="934"/>
    </row>
    <row r="38" spans="1:6" ht="15.75">
      <c r="A38" s="862"/>
      <c r="B38" s="862"/>
      <c r="C38" s="862"/>
      <c r="D38" s="862"/>
      <c r="E38" s="862"/>
      <c r="F38" s="862"/>
    </row>
    <row r="39" spans="1:6" ht="15.75">
      <c r="A39" s="862"/>
      <c r="B39" s="862"/>
      <c r="C39" s="862"/>
      <c r="D39" s="862"/>
      <c r="E39" s="862"/>
      <c r="F39" s="862"/>
    </row>
    <row r="40" spans="1:6" ht="15.75">
      <c r="A40" s="337"/>
      <c r="B40" s="458"/>
      <c r="C40" s="582"/>
      <c r="D40" s="337"/>
      <c r="E40" s="459"/>
      <c r="F40" s="459"/>
    </row>
    <row r="41" spans="1:6" ht="15.75" hidden="1">
      <c r="A41" s="449"/>
      <c r="B41" s="449"/>
      <c r="C41" s="459"/>
      <c r="D41" s="449"/>
      <c r="E41" s="449"/>
      <c r="F41" s="449"/>
    </row>
    <row r="42" spans="1:6" ht="15.75" hidden="1">
      <c r="A42" s="339"/>
      <c r="B42" s="1018"/>
      <c r="C42" s="1019"/>
      <c r="D42" s="1019"/>
      <c r="E42" s="1019"/>
      <c r="F42" s="1020"/>
    </row>
    <row r="43" spans="1:6" ht="18.75" hidden="1">
      <c r="A43" s="339"/>
      <c r="B43" s="604"/>
      <c r="C43" s="465"/>
      <c r="D43" s="466"/>
      <c r="E43" s="466"/>
      <c r="F43" s="466"/>
    </row>
    <row r="44" spans="1:6" ht="18.75" hidden="1">
      <c r="A44" s="339"/>
      <c r="B44" s="605"/>
      <c r="C44" s="465"/>
      <c r="D44" s="466"/>
      <c r="E44" s="466"/>
      <c r="F44" s="466"/>
    </row>
    <row r="45" spans="1:6" ht="18.75" hidden="1">
      <c r="A45" s="339"/>
      <c r="B45" s="605"/>
      <c r="C45" s="465"/>
      <c r="D45" s="466"/>
      <c r="E45" s="466"/>
      <c r="F45" s="466"/>
    </row>
    <row r="46" spans="1:6" ht="18.75" hidden="1">
      <c r="A46" s="339"/>
      <c r="B46" s="604"/>
      <c r="C46" s="465"/>
      <c r="D46" s="466"/>
      <c r="E46" s="466"/>
      <c r="F46" s="466"/>
    </row>
    <row r="47" spans="1:6" ht="18.75" hidden="1">
      <c r="A47" s="339"/>
      <c r="B47" s="604"/>
      <c r="C47" s="465"/>
      <c r="D47" s="466"/>
      <c r="E47" s="466"/>
      <c r="F47" s="466"/>
    </row>
    <row r="48" spans="1:6" ht="18.75" hidden="1">
      <c r="A48" s="339"/>
      <c r="B48" s="605"/>
      <c r="C48" s="465"/>
      <c r="D48" s="466"/>
      <c r="E48" s="466"/>
      <c r="F48" s="466"/>
    </row>
    <row r="49" spans="1:6" ht="18.75" hidden="1">
      <c r="A49" s="339"/>
      <c r="B49" s="605"/>
      <c r="C49" s="465"/>
      <c r="D49" s="466"/>
      <c r="E49" s="466"/>
      <c r="F49" s="466"/>
    </row>
    <row r="50" spans="1:6" ht="18.75" hidden="1">
      <c r="A50" s="339"/>
      <c r="B50" s="605"/>
      <c r="C50" s="465"/>
      <c r="D50" s="466"/>
      <c r="E50" s="466"/>
      <c r="F50" s="466"/>
    </row>
    <row r="51" spans="1:6" ht="18.75" hidden="1">
      <c r="A51" s="339"/>
      <c r="B51" s="604"/>
      <c r="C51" s="465"/>
      <c r="D51" s="466"/>
      <c r="E51" s="466"/>
      <c r="F51" s="466"/>
    </row>
    <row r="52" spans="1:6" ht="18.75" hidden="1">
      <c r="A52" s="339"/>
      <c r="B52" s="604"/>
      <c r="C52" s="465"/>
      <c r="D52" s="466"/>
      <c r="E52" s="466"/>
      <c r="F52" s="466"/>
    </row>
    <row r="53" spans="1:6" ht="15.75" hidden="1">
      <c r="A53" s="339"/>
      <c r="B53" s="1021"/>
      <c r="C53" s="1022"/>
      <c r="D53" s="1022"/>
      <c r="E53" s="1023"/>
      <c r="F53" s="462"/>
    </row>
    <row r="54" spans="1:6" ht="15.75" hidden="1">
      <c r="A54" s="1035"/>
      <c r="B54" s="1036"/>
      <c r="C54" s="1036"/>
      <c r="D54" s="1036"/>
      <c r="E54" s="1036"/>
      <c r="F54" s="1037"/>
    </row>
    <row r="55" spans="1:6" ht="15.75" hidden="1">
      <c r="A55" s="389"/>
      <c r="B55" s="389"/>
      <c r="C55" s="389"/>
      <c r="D55" s="389"/>
      <c r="E55" s="553"/>
      <c r="F55" s="553"/>
    </row>
    <row r="56" spans="1:6" ht="15.75" hidden="1">
      <c r="A56" s="606"/>
      <c r="B56" s="607"/>
      <c r="C56" s="608"/>
      <c r="D56" s="608"/>
      <c r="E56" s="608"/>
      <c r="F56" s="608"/>
    </row>
    <row r="57" spans="1:6" ht="15.75" hidden="1">
      <c r="A57" s="606"/>
      <c r="B57" s="607"/>
      <c r="C57" s="608"/>
      <c r="D57" s="608"/>
      <c r="E57" s="608"/>
      <c r="F57" s="608"/>
    </row>
    <row r="58" spans="1:6" ht="15.75" hidden="1">
      <c r="A58" s="606"/>
      <c r="B58" s="607"/>
      <c r="C58" s="608"/>
      <c r="D58" s="608"/>
      <c r="E58" s="608"/>
      <c r="F58" s="608"/>
    </row>
    <row r="59" spans="1:6" ht="15.75" hidden="1">
      <c r="A59" s="606"/>
      <c r="B59" s="607"/>
      <c r="C59" s="608"/>
      <c r="D59" s="608"/>
      <c r="E59" s="608"/>
      <c r="F59" s="608"/>
    </row>
    <row r="60" spans="1:6" ht="15.75" hidden="1">
      <c r="A60" s="606"/>
      <c r="B60" s="607"/>
      <c r="C60" s="608"/>
      <c r="D60" s="608"/>
      <c r="E60" s="608"/>
      <c r="F60" s="608"/>
    </row>
    <row r="61" spans="1:6" ht="15.75" hidden="1">
      <c r="A61" s="606"/>
      <c r="B61" s="607"/>
      <c r="C61" s="608"/>
      <c r="D61" s="608"/>
      <c r="E61" s="608"/>
      <c r="F61" s="608"/>
    </row>
    <row r="62" spans="1:6" ht="15.75" hidden="1">
      <c r="A62" s="606"/>
      <c r="B62" s="607"/>
      <c r="C62" s="608"/>
      <c r="D62" s="608"/>
      <c r="E62" s="608"/>
      <c r="F62" s="608"/>
    </row>
    <row r="63" spans="1:6" ht="15.75" hidden="1">
      <c r="A63" s="606"/>
      <c r="B63" s="607"/>
      <c r="C63" s="608"/>
      <c r="D63" s="608"/>
      <c r="E63" s="608"/>
      <c r="F63" s="608"/>
    </row>
    <row r="64" spans="1:6" ht="15.75" hidden="1">
      <c r="A64" s="606"/>
      <c r="B64" s="607"/>
      <c r="C64" s="608"/>
      <c r="D64" s="608"/>
      <c r="E64" s="608"/>
      <c r="F64" s="608"/>
    </row>
    <row r="65" spans="1:6" ht="15.75" hidden="1">
      <c r="A65" s="606"/>
      <c r="B65" s="607"/>
      <c r="C65" s="608"/>
      <c r="D65" s="608"/>
      <c r="E65" s="608"/>
      <c r="F65" s="608"/>
    </row>
    <row r="66" spans="1:6" ht="15.75" hidden="1">
      <c r="A66" s="606"/>
      <c r="B66" s="607"/>
      <c r="C66" s="608"/>
      <c r="D66" s="608"/>
      <c r="E66" s="608"/>
      <c r="F66" s="608"/>
    </row>
    <row r="67" spans="1:6" ht="15.75" hidden="1">
      <c r="A67" s="606"/>
      <c r="B67" s="1038"/>
      <c r="C67" s="1039"/>
      <c r="D67" s="1039"/>
      <c r="E67" s="1040"/>
      <c r="F67" s="609"/>
    </row>
    <row r="68" ht="15.75" hidden="1"/>
    <row r="69" ht="15.75" hidden="1"/>
    <row r="70" spans="1:6" ht="15.75" hidden="1">
      <c r="A70" s="955"/>
      <c r="B70" s="955"/>
      <c r="C70" s="320"/>
      <c r="D70" s="321"/>
      <c r="E70" s="449"/>
      <c r="F70" s="310"/>
    </row>
    <row r="71" spans="1:6" ht="15.75" hidden="1">
      <c r="A71" s="320"/>
      <c r="B71" s="320"/>
      <c r="C71" s="320"/>
      <c r="D71" s="534"/>
      <c r="E71" s="310"/>
      <c r="F71" s="310"/>
    </row>
    <row r="72" spans="1:6" ht="15.75">
      <c r="A72" s="535"/>
      <c r="B72" s="535"/>
      <c r="C72" s="535"/>
      <c r="D72" s="535"/>
      <c r="E72" s="587"/>
      <c r="F72" s="310"/>
    </row>
  </sheetData>
  <sheetProtection/>
  <mergeCells count="18">
    <mergeCell ref="A16:E16"/>
    <mergeCell ref="A21:E21"/>
    <mergeCell ref="A1:F1"/>
    <mergeCell ref="A2:F2"/>
    <mergeCell ref="A4:F4"/>
    <mergeCell ref="A7:E7"/>
    <mergeCell ref="A11:E11"/>
    <mergeCell ref="A13:E13"/>
    <mergeCell ref="B33:E33"/>
    <mergeCell ref="A54:F54"/>
    <mergeCell ref="B67:E67"/>
    <mergeCell ref="A70:B70"/>
    <mergeCell ref="A35:B35"/>
    <mergeCell ref="F37:G37"/>
    <mergeCell ref="A38:F38"/>
    <mergeCell ref="A39:F39"/>
    <mergeCell ref="B42:F42"/>
    <mergeCell ref="B53:E53"/>
  </mergeCells>
  <printOptions/>
  <pageMargins left="1.05" right="0.1968503937007874" top="0.7874015748031497" bottom="0" header="0.5118110236220472" footer="0.5118110236220472"/>
  <pageSetup horizontalDpi="600" verticalDpi="600" orientation="portrait" paperSize="9" scale="79" r:id="rId1"/>
  <rowBreaks count="1" manualBreakCount="1">
    <brk id="3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4:F14"/>
  <sheetViews>
    <sheetView zoomScalePageLayoutView="0" workbookViewId="0" topLeftCell="A13">
      <selection activeCell="A2" sqref="A2:IV2"/>
    </sheetView>
  </sheetViews>
  <sheetFormatPr defaultColWidth="9.00390625" defaultRowHeight="12.75"/>
  <cols>
    <col min="2" max="2" width="18.375" style="0" customWidth="1"/>
  </cols>
  <sheetData>
    <row r="4" spans="1:6" ht="15.75">
      <c r="A4" s="389"/>
      <c r="B4" s="1047" t="s">
        <v>803</v>
      </c>
      <c r="C4" s="1048"/>
      <c r="D4" s="1048"/>
      <c r="E4" s="1048"/>
      <c r="F4" s="1049"/>
    </row>
    <row r="5" spans="1:6" ht="63">
      <c r="A5" s="339">
        <v>1</v>
      </c>
      <c r="B5" s="463" t="s">
        <v>804</v>
      </c>
      <c r="C5" s="448" t="s">
        <v>749</v>
      </c>
      <c r="D5" s="447">
        <v>10</v>
      </c>
      <c r="E5" s="447">
        <v>110</v>
      </c>
      <c r="F5" s="447">
        <f>D5*E5</f>
        <v>1100</v>
      </c>
    </row>
    <row r="6" spans="1:6" ht="63">
      <c r="A6" s="339">
        <v>2</v>
      </c>
      <c r="B6" s="463" t="s">
        <v>805</v>
      </c>
      <c r="C6" s="448" t="s">
        <v>749</v>
      </c>
      <c r="D6" s="447">
        <v>20</v>
      </c>
      <c r="E6" s="447">
        <v>55</v>
      </c>
      <c r="F6" s="447">
        <f>D6*E6</f>
        <v>1100</v>
      </c>
    </row>
    <row r="7" spans="1:6" ht="31.5">
      <c r="A7" s="339">
        <v>3</v>
      </c>
      <c r="B7" s="463" t="s">
        <v>806</v>
      </c>
      <c r="C7" s="448" t="s">
        <v>749</v>
      </c>
      <c r="D7" s="447">
        <v>10</v>
      </c>
      <c r="E7" s="447">
        <v>40</v>
      </c>
      <c r="F7" s="447">
        <f>D7*E7</f>
        <v>400</v>
      </c>
    </row>
    <row r="8" spans="1:6" ht="78.75">
      <c r="A8" s="339">
        <v>4</v>
      </c>
      <c r="B8" s="464" t="s">
        <v>807</v>
      </c>
      <c r="C8" s="448" t="s">
        <v>749</v>
      </c>
      <c r="D8" s="447">
        <v>1</v>
      </c>
      <c r="E8" s="447">
        <v>368.49</v>
      </c>
      <c r="F8" s="447">
        <f aca="true" t="shared" si="0" ref="F8:F13">D8*E8</f>
        <v>368.49</v>
      </c>
    </row>
    <row r="9" spans="1:6" ht="47.25">
      <c r="A9" s="339">
        <v>5</v>
      </c>
      <c r="B9" s="463" t="s">
        <v>808</v>
      </c>
      <c r="C9" s="448" t="s">
        <v>749</v>
      </c>
      <c r="D9" s="447">
        <v>10</v>
      </c>
      <c r="E9" s="447">
        <v>25</v>
      </c>
      <c r="F9" s="447">
        <f t="shared" si="0"/>
        <v>250</v>
      </c>
    </row>
    <row r="10" spans="1:6" ht="31.5">
      <c r="A10" s="339">
        <v>6</v>
      </c>
      <c r="B10" s="463" t="s">
        <v>809</v>
      </c>
      <c r="C10" s="448" t="s">
        <v>590</v>
      </c>
      <c r="D10" s="447">
        <v>48</v>
      </c>
      <c r="E10" s="447">
        <v>10</v>
      </c>
      <c r="F10" s="447">
        <f t="shared" si="0"/>
        <v>480</v>
      </c>
    </row>
    <row r="11" spans="1:6" ht="48.75" customHeight="1">
      <c r="A11" s="339">
        <v>7</v>
      </c>
      <c r="B11" s="463" t="s">
        <v>810</v>
      </c>
      <c r="C11" s="448" t="s">
        <v>749</v>
      </c>
      <c r="D11" s="447">
        <v>10</v>
      </c>
      <c r="E11" s="447">
        <v>50</v>
      </c>
      <c r="F11" s="447">
        <f t="shared" si="0"/>
        <v>500</v>
      </c>
    </row>
    <row r="12" spans="1:6" ht="63">
      <c r="A12" s="339">
        <v>8</v>
      </c>
      <c r="B12" s="463" t="s">
        <v>811</v>
      </c>
      <c r="C12" s="448" t="s">
        <v>749</v>
      </c>
      <c r="D12" s="447">
        <v>6</v>
      </c>
      <c r="E12" s="447">
        <v>55</v>
      </c>
      <c r="F12" s="447">
        <f t="shared" si="0"/>
        <v>330</v>
      </c>
    </row>
    <row r="13" spans="1:6" ht="63">
      <c r="A13" s="339">
        <v>9</v>
      </c>
      <c r="B13" s="463" t="s">
        <v>812</v>
      </c>
      <c r="C13" s="448" t="s">
        <v>749</v>
      </c>
      <c r="D13" s="447">
        <v>10</v>
      </c>
      <c r="E13" s="447">
        <v>40</v>
      </c>
      <c r="F13" s="447">
        <f t="shared" si="0"/>
        <v>400</v>
      </c>
    </row>
    <row r="14" spans="1:6" ht="15.75">
      <c r="A14" s="339"/>
      <c r="B14" s="1021" t="s">
        <v>568</v>
      </c>
      <c r="C14" s="1022"/>
      <c r="D14" s="1022"/>
      <c r="E14" s="1023"/>
      <c r="F14" s="462">
        <f>SUM(F5:F13)</f>
        <v>4928.49</v>
      </c>
    </row>
  </sheetData>
  <sheetProtection/>
  <mergeCells count="2">
    <mergeCell ref="B4:F4"/>
    <mergeCell ref="B14:E1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4:F2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.25390625" style="0" bestFit="1" customWidth="1"/>
    <col min="2" max="2" width="19.625" style="0" customWidth="1"/>
    <col min="6" max="6" width="14.375" style="0" customWidth="1"/>
  </cols>
  <sheetData>
    <row r="4" spans="1:6" ht="15.75">
      <c r="A4" s="339"/>
      <c r="B4" s="1018" t="s">
        <v>781</v>
      </c>
      <c r="C4" s="1019"/>
      <c r="D4" s="1019"/>
      <c r="E4" s="1019"/>
      <c r="F4" s="1020"/>
    </row>
    <row r="5" spans="1:6" ht="15.75">
      <c r="A5" s="339">
        <f aca="true" t="shared" si="0" ref="A5:A15">A4+1</f>
        <v>1</v>
      </c>
      <c r="B5" s="460" t="s">
        <v>782</v>
      </c>
      <c r="C5" s="461" t="s">
        <v>749</v>
      </c>
      <c r="D5" s="461">
        <v>2</v>
      </c>
      <c r="E5" s="461">
        <v>45</v>
      </c>
      <c r="F5" s="461">
        <f>D5*E5</f>
        <v>90</v>
      </c>
    </row>
    <row r="6" spans="1:6" ht="31.5">
      <c r="A6" s="339">
        <f t="shared" si="0"/>
        <v>2</v>
      </c>
      <c r="B6" s="460" t="s">
        <v>783</v>
      </c>
      <c r="C6" s="461" t="s">
        <v>749</v>
      </c>
      <c r="D6" s="461">
        <v>20</v>
      </c>
      <c r="E6" s="461">
        <v>95.3</v>
      </c>
      <c r="F6" s="461">
        <f aca="true" t="shared" si="1" ref="F6:F20">D6*E6</f>
        <v>1906</v>
      </c>
    </row>
    <row r="7" spans="1:6" ht="47.25">
      <c r="A7" s="339">
        <f t="shared" si="0"/>
        <v>3</v>
      </c>
      <c r="B7" s="460" t="s">
        <v>784</v>
      </c>
      <c r="C7" s="461" t="s">
        <v>749</v>
      </c>
      <c r="D7" s="461">
        <v>2</v>
      </c>
      <c r="E7" s="461">
        <v>200</v>
      </c>
      <c r="F7" s="461">
        <f t="shared" si="1"/>
        <v>400</v>
      </c>
    </row>
    <row r="8" spans="1:6" ht="31.5">
      <c r="A8" s="339">
        <f t="shared" si="0"/>
        <v>4</v>
      </c>
      <c r="B8" s="460" t="s">
        <v>785</v>
      </c>
      <c r="C8" s="461" t="s">
        <v>786</v>
      </c>
      <c r="D8" s="461">
        <v>50</v>
      </c>
      <c r="E8" s="461">
        <v>79</v>
      </c>
      <c r="F8" s="461">
        <f t="shared" si="1"/>
        <v>3950</v>
      </c>
    </row>
    <row r="9" spans="1:6" ht="47.25">
      <c r="A9" s="339">
        <f t="shared" si="0"/>
        <v>5</v>
      </c>
      <c r="B9" s="460" t="s">
        <v>787</v>
      </c>
      <c r="C9" s="461" t="s">
        <v>786</v>
      </c>
      <c r="D9" s="461">
        <v>560</v>
      </c>
      <c r="E9" s="461">
        <v>59</v>
      </c>
      <c r="F9" s="461">
        <f t="shared" si="1"/>
        <v>33040</v>
      </c>
    </row>
    <row r="10" spans="1:6" ht="15.75">
      <c r="A10" s="339">
        <f t="shared" si="0"/>
        <v>6</v>
      </c>
      <c r="B10" s="460" t="s">
        <v>788</v>
      </c>
      <c r="C10" s="461" t="s">
        <v>789</v>
      </c>
      <c r="D10" s="461">
        <v>57</v>
      </c>
      <c r="E10" s="461">
        <v>13.5</v>
      </c>
      <c r="F10" s="461">
        <f t="shared" si="1"/>
        <v>769.5</v>
      </c>
    </row>
    <row r="11" spans="1:6" ht="31.5">
      <c r="A11" s="339">
        <f t="shared" si="0"/>
        <v>7</v>
      </c>
      <c r="B11" s="460" t="s">
        <v>790</v>
      </c>
      <c r="C11" s="461" t="s">
        <v>786</v>
      </c>
      <c r="D11" s="461">
        <v>1.9</v>
      </c>
      <c r="E11" s="461">
        <v>131</v>
      </c>
      <c r="F11" s="461">
        <f t="shared" si="1"/>
        <v>248.89999999999998</v>
      </c>
    </row>
    <row r="12" spans="1:6" ht="63">
      <c r="A12" s="339">
        <f t="shared" si="0"/>
        <v>8</v>
      </c>
      <c r="B12" s="460" t="s">
        <v>791</v>
      </c>
      <c r="C12" s="461" t="s">
        <v>786</v>
      </c>
      <c r="D12" s="461">
        <v>225</v>
      </c>
      <c r="E12" s="461">
        <v>16</v>
      </c>
      <c r="F12" s="461">
        <f t="shared" si="1"/>
        <v>3600</v>
      </c>
    </row>
    <row r="13" spans="1:6" ht="31.5">
      <c r="A13" s="339">
        <f t="shared" si="0"/>
        <v>9</v>
      </c>
      <c r="B13" s="460" t="s">
        <v>792</v>
      </c>
      <c r="C13" s="461" t="s">
        <v>786</v>
      </c>
      <c r="D13" s="461">
        <v>54</v>
      </c>
      <c r="E13" s="461">
        <v>131</v>
      </c>
      <c r="F13" s="461">
        <f t="shared" si="1"/>
        <v>7074</v>
      </c>
    </row>
    <row r="14" spans="1:6" ht="31.5">
      <c r="A14" s="339">
        <f t="shared" si="0"/>
        <v>10</v>
      </c>
      <c r="B14" s="460" t="s">
        <v>793</v>
      </c>
      <c r="C14" s="461" t="s">
        <v>786</v>
      </c>
      <c r="D14" s="461">
        <v>3.8</v>
      </c>
      <c r="E14" s="461">
        <v>131</v>
      </c>
      <c r="F14" s="461">
        <f t="shared" si="1"/>
        <v>497.79999999999995</v>
      </c>
    </row>
    <row r="15" spans="1:6" ht="31.5">
      <c r="A15" s="339">
        <f t="shared" si="0"/>
        <v>11</v>
      </c>
      <c r="B15" s="460" t="s">
        <v>794</v>
      </c>
      <c r="C15" s="461" t="s">
        <v>786</v>
      </c>
      <c r="D15" s="461">
        <v>3.8</v>
      </c>
      <c r="E15" s="461">
        <v>131</v>
      </c>
      <c r="F15" s="461">
        <f t="shared" si="1"/>
        <v>497.79999999999995</v>
      </c>
    </row>
    <row r="16" spans="1:6" ht="47.25">
      <c r="A16" s="339">
        <v>12</v>
      </c>
      <c r="B16" s="460" t="s">
        <v>795</v>
      </c>
      <c r="C16" s="461" t="s">
        <v>786</v>
      </c>
      <c r="D16" s="461">
        <v>200</v>
      </c>
      <c r="E16" s="461">
        <v>51</v>
      </c>
      <c r="F16" s="461">
        <f t="shared" si="1"/>
        <v>10200</v>
      </c>
    </row>
    <row r="17" spans="1:6" ht="31.5">
      <c r="A17" s="339">
        <v>13</v>
      </c>
      <c r="B17" s="460" t="s">
        <v>796</v>
      </c>
      <c r="C17" s="461" t="s">
        <v>786</v>
      </c>
      <c r="D17" s="461">
        <v>1.9</v>
      </c>
      <c r="E17" s="461">
        <v>131</v>
      </c>
      <c r="F17" s="461">
        <f t="shared" si="1"/>
        <v>248.89999999999998</v>
      </c>
    </row>
    <row r="18" spans="1:6" ht="47.25">
      <c r="A18" s="339">
        <v>14</v>
      </c>
      <c r="B18" s="460" t="s">
        <v>797</v>
      </c>
      <c r="C18" s="461" t="s">
        <v>798</v>
      </c>
      <c r="D18" s="461">
        <v>30</v>
      </c>
      <c r="E18" s="461">
        <v>29</v>
      </c>
      <c r="F18" s="461">
        <f t="shared" si="1"/>
        <v>870</v>
      </c>
    </row>
    <row r="19" spans="1:6" ht="31.5">
      <c r="A19" s="339">
        <v>15</v>
      </c>
      <c r="B19" s="460" t="s">
        <v>799</v>
      </c>
      <c r="C19" s="461" t="s">
        <v>786</v>
      </c>
      <c r="D19" s="461">
        <v>9.5</v>
      </c>
      <c r="E19" s="461">
        <v>131</v>
      </c>
      <c r="F19" s="461">
        <f t="shared" si="1"/>
        <v>1244.5</v>
      </c>
    </row>
    <row r="20" spans="1:6" ht="45" customHeight="1">
      <c r="A20" s="339">
        <v>16</v>
      </c>
      <c r="B20" s="460" t="s">
        <v>800</v>
      </c>
      <c r="C20" s="461" t="s">
        <v>801</v>
      </c>
      <c r="D20" s="461">
        <v>6</v>
      </c>
      <c r="E20" s="461">
        <v>900</v>
      </c>
      <c r="F20" s="461">
        <f t="shared" si="1"/>
        <v>5400</v>
      </c>
    </row>
    <row r="21" spans="1:6" ht="15.75">
      <c r="A21" s="339"/>
      <c r="B21" s="1050" t="s">
        <v>568</v>
      </c>
      <c r="C21" s="1051"/>
      <c r="D21" s="1051"/>
      <c r="E21" s="1052"/>
      <c r="F21" s="462">
        <f>SUM(F5:F20)</f>
        <v>70037.40000000001</v>
      </c>
    </row>
  </sheetData>
  <sheetProtection/>
  <mergeCells count="2">
    <mergeCell ref="B4:F4"/>
    <mergeCell ref="B21:E2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L60"/>
  <sheetViews>
    <sheetView zoomScalePageLayoutView="0" workbookViewId="0" topLeftCell="A18">
      <selection activeCell="F40" sqref="F40"/>
    </sheetView>
  </sheetViews>
  <sheetFormatPr defaultColWidth="9.00390625" defaultRowHeight="12.75"/>
  <cols>
    <col min="1" max="1" width="5.625" style="587" customWidth="1"/>
    <col min="2" max="2" width="43.00390625" style="610" customWidth="1"/>
    <col min="3" max="3" width="8.125" style="587" bestFit="1" customWidth="1"/>
    <col min="4" max="4" width="9.25390625" style="587" customWidth="1"/>
    <col min="5" max="5" width="12.25390625" style="611" customWidth="1"/>
    <col min="6" max="6" width="17.00390625" style="611" customWidth="1"/>
    <col min="7" max="7" width="10.125" style="587" bestFit="1" customWidth="1"/>
    <col min="8" max="16384" width="9.125" style="587" customWidth="1"/>
  </cols>
  <sheetData>
    <row r="1" spans="1:6" s="337" customFormat="1" ht="18.75">
      <c r="A1" s="862" t="s">
        <v>742</v>
      </c>
      <c r="B1" s="862"/>
      <c r="C1" s="862"/>
      <c r="D1" s="862"/>
      <c r="E1" s="862"/>
      <c r="F1" s="862"/>
    </row>
    <row r="2" spans="1:6" s="337" customFormat="1" ht="15.75">
      <c r="A2" s="862" t="s">
        <v>656</v>
      </c>
      <c r="B2" s="862"/>
      <c r="C2" s="862"/>
      <c r="D2" s="862"/>
      <c r="E2" s="862"/>
      <c r="F2" s="862"/>
    </row>
    <row r="3" spans="1:6" s="337" customFormat="1" ht="18.75" hidden="1">
      <c r="A3" s="862" t="s">
        <v>742</v>
      </c>
      <c r="B3" s="862"/>
      <c r="C3" s="862"/>
      <c r="D3" s="862"/>
      <c r="E3" s="862"/>
      <c r="F3" s="862"/>
    </row>
    <row r="4" spans="1:6" s="337" customFormat="1" ht="15.75" hidden="1">
      <c r="A4" s="862" t="s">
        <v>656</v>
      </c>
      <c r="B4" s="862"/>
      <c r="C4" s="862"/>
      <c r="D4" s="862"/>
      <c r="E4" s="862"/>
      <c r="F4" s="862"/>
    </row>
    <row r="5" spans="2:6" s="337" customFormat="1" ht="15.75" hidden="1">
      <c r="B5" s="458"/>
      <c r="C5" s="582" t="s">
        <v>1014</v>
      </c>
      <c r="E5" s="459"/>
      <c r="F5" s="459"/>
    </row>
    <row r="6" spans="1:6" s="337" customFormat="1" ht="27.75" customHeight="1">
      <c r="A6" s="339"/>
      <c r="B6" s="1066" t="s">
        <v>1116</v>
      </c>
      <c r="C6" s="1067"/>
      <c r="D6" s="1067"/>
      <c r="E6" s="1067"/>
      <c r="F6" s="1068"/>
    </row>
    <row r="7" spans="1:6" s="337" customFormat="1" ht="15.75">
      <c r="A7" s="583">
        <f>A6+1</f>
        <v>1</v>
      </c>
      <c r="B7" s="442" t="s">
        <v>1040</v>
      </c>
      <c r="C7" s="440" t="s">
        <v>749</v>
      </c>
      <c r="D7" s="441">
        <v>40</v>
      </c>
      <c r="E7" s="441">
        <v>9.89</v>
      </c>
      <c r="F7" s="441">
        <f aca="true" t="shared" si="0" ref="F7:F39">D7*E7</f>
        <v>395.6</v>
      </c>
    </row>
    <row r="8" spans="1:6" s="337" customFormat="1" ht="15.75">
      <c r="A8" s="583">
        <f>A7+1</f>
        <v>2</v>
      </c>
      <c r="B8" s="442" t="s">
        <v>1041</v>
      </c>
      <c r="C8" s="440" t="s">
        <v>749</v>
      </c>
      <c r="D8" s="441">
        <v>40</v>
      </c>
      <c r="E8" s="441">
        <v>20</v>
      </c>
      <c r="F8" s="441">
        <f t="shared" si="0"/>
        <v>800</v>
      </c>
    </row>
    <row r="9" spans="1:6" s="337" customFormat="1" ht="15.75">
      <c r="A9" s="583">
        <f>A8+1</f>
        <v>3</v>
      </c>
      <c r="B9" s="442" t="s">
        <v>1042</v>
      </c>
      <c r="C9" s="440" t="s">
        <v>1043</v>
      </c>
      <c r="D9" s="441">
        <v>100</v>
      </c>
      <c r="E9" s="441">
        <v>7.31</v>
      </c>
      <c r="F9" s="441">
        <f t="shared" si="0"/>
        <v>731</v>
      </c>
    </row>
    <row r="10" spans="1:6" s="337" customFormat="1" ht="15.75">
      <c r="A10" s="583">
        <v>4</v>
      </c>
      <c r="B10" s="448" t="s">
        <v>1044</v>
      </c>
      <c r="C10" s="446" t="s">
        <v>749</v>
      </c>
      <c r="D10" s="447">
        <v>15</v>
      </c>
      <c r="E10" s="447">
        <v>34.4</v>
      </c>
      <c r="F10" s="441">
        <f t="shared" si="0"/>
        <v>516</v>
      </c>
    </row>
    <row r="11" spans="1:6" s="337" customFormat="1" ht="15.75">
      <c r="A11" s="583">
        <f>A10+1</f>
        <v>5</v>
      </c>
      <c r="B11" s="448" t="s">
        <v>1045</v>
      </c>
      <c r="C11" s="446" t="s">
        <v>749</v>
      </c>
      <c r="D11" s="447">
        <v>20</v>
      </c>
      <c r="E11" s="447">
        <v>34.4</v>
      </c>
      <c r="F11" s="441">
        <f t="shared" si="0"/>
        <v>688</v>
      </c>
    </row>
    <row r="12" spans="1:6" s="337" customFormat="1" ht="15.75">
      <c r="A12" s="583">
        <v>6</v>
      </c>
      <c r="B12" s="448" t="s">
        <v>1046</v>
      </c>
      <c r="C12" s="446" t="s">
        <v>749</v>
      </c>
      <c r="D12" s="447">
        <v>150</v>
      </c>
      <c r="E12" s="447">
        <v>1.06</v>
      </c>
      <c r="F12" s="441">
        <f t="shared" si="0"/>
        <v>159</v>
      </c>
    </row>
    <row r="13" spans="1:6" s="337" customFormat="1" ht="15.75">
      <c r="A13" s="583">
        <v>7</v>
      </c>
      <c r="B13" s="448" t="s">
        <v>1047</v>
      </c>
      <c r="C13" s="446" t="s">
        <v>749</v>
      </c>
      <c r="D13" s="447">
        <v>50</v>
      </c>
      <c r="E13" s="447">
        <v>40</v>
      </c>
      <c r="F13" s="441">
        <f t="shared" si="0"/>
        <v>2000</v>
      </c>
    </row>
    <row r="14" spans="1:6" s="337" customFormat="1" ht="15.75">
      <c r="A14" s="583">
        <v>8</v>
      </c>
      <c r="B14" s="448" t="s">
        <v>1048</v>
      </c>
      <c r="C14" s="446" t="s">
        <v>749</v>
      </c>
      <c r="D14" s="447">
        <v>50</v>
      </c>
      <c r="E14" s="447">
        <v>3.28</v>
      </c>
      <c r="F14" s="441">
        <f t="shared" si="0"/>
        <v>164</v>
      </c>
    </row>
    <row r="15" spans="1:6" s="337" customFormat="1" ht="15.75">
      <c r="A15" s="583">
        <v>9</v>
      </c>
      <c r="B15" s="448" t="s">
        <v>1049</v>
      </c>
      <c r="C15" s="446" t="s">
        <v>1050</v>
      </c>
      <c r="D15" s="447">
        <v>20</v>
      </c>
      <c r="E15" s="447">
        <v>53.78</v>
      </c>
      <c r="F15" s="441">
        <f t="shared" si="0"/>
        <v>1075.6</v>
      </c>
    </row>
    <row r="16" spans="1:6" s="337" customFormat="1" ht="15.75">
      <c r="A16" s="583">
        <v>10</v>
      </c>
      <c r="B16" s="448" t="s">
        <v>1051</v>
      </c>
      <c r="C16" s="446" t="s">
        <v>749</v>
      </c>
      <c r="D16" s="447">
        <v>100</v>
      </c>
      <c r="E16" s="447">
        <v>3.87</v>
      </c>
      <c r="F16" s="441">
        <f t="shared" si="0"/>
        <v>387</v>
      </c>
    </row>
    <row r="17" spans="1:6" s="337" customFormat="1" ht="15.75">
      <c r="A17" s="583">
        <v>11</v>
      </c>
      <c r="B17" s="448" t="s">
        <v>1052</v>
      </c>
      <c r="C17" s="446" t="s">
        <v>749</v>
      </c>
      <c r="D17" s="447">
        <v>20</v>
      </c>
      <c r="E17" s="447">
        <v>5.16</v>
      </c>
      <c r="F17" s="441">
        <f t="shared" si="0"/>
        <v>103.2</v>
      </c>
    </row>
    <row r="18" spans="1:6" s="337" customFormat="1" ht="15.75">
      <c r="A18" s="583">
        <v>12</v>
      </c>
      <c r="B18" s="448" t="s">
        <v>1053</v>
      </c>
      <c r="C18" s="446" t="s">
        <v>749</v>
      </c>
      <c r="D18" s="447">
        <v>20</v>
      </c>
      <c r="E18" s="447">
        <v>6.74</v>
      </c>
      <c r="F18" s="441">
        <f t="shared" si="0"/>
        <v>134.8</v>
      </c>
    </row>
    <row r="19" spans="1:6" s="337" customFormat="1" ht="15.75">
      <c r="A19" s="583">
        <v>13</v>
      </c>
      <c r="B19" s="448" t="s">
        <v>1054</v>
      </c>
      <c r="C19" s="446" t="s">
        <v>749</v>
      </c>
      <c r="D19" s="447">
        <v>100</v>
      </c>
      <c r="E19" s="447">
        <v>23.65</v>
      </c>
      <c r="F19" s="441">
        <f t="shared" si="0"/>
        <v>2365</v>
      </c>
    </row>
    <row r="20" spans="1:6" s="337" customFormat="1" ht="15.75">
      <c r="A20" s="583">
        <v>14</v>
      </c>
      <c r="B20" s="448" t="s">
        <v>1055</v>
      </c>
      <c r="C20" s="446" t="s">
        <v>749</v>
      </c>
      <c r="D20" s="447">
        <v>10</v>
      </c>
      <c r="E20" s="447">
        <v>32.25</v>
      </c>
      <c r="F20" s="441">
        <f t="shared" si="0"/>
        <v>322.5</v>
      </c>
    </row>
    <row r="21" spans="1:6" s="337" customFormat="1" ht="15.75">
      <c r="A21" s="583">
        <v>15</v>
      </c>
      <c r="B21" s="448" t="s">
        <v>1056</v>
      </c>
      <c r="C21" s="446" t="s">
        <v>749</v>
      </c>
      <c r="D21" s="447">
        <v>10</v>
      </c>
      <c r="E21" s="447">
        <v>31.05</v>
      </c>
      <c r="F21" s="441">
        <f t="shared" si="0"/>
        <v>310.5</v>
      </c>
    </row>
    <row r="22" spans="1:6" s="337" customFormat="1" ht="15.75">
      <c r="A22" s="583">
        <v>16</v>
      </c>
      <c r="B22" s="448" t="s">
        <v>1057</v>
      </c>
      <c r="C22" s="446" t="s">
        <v>749</v>
      </c>
      <c r="D22" s="447">
        <v>20</v>
      </c>
      <c r="E22" s="447">
        <v>31.05</v>
      </c>
      <c r="F22" s="441">
        <f t="shared" si="0"/>
        <v>621</v>
      </c>
    </row>
    <row r="23" spans="1:12" s="337" customFormat="1" ht="15.75">
      <c r="A23" s="583">
        <v>17</v>
      </c>
      <c r="B23" s="448" t="s">
        <v>1058</v>
      </c>
      <c r="C23" s="446" t="s">
        <v>749</v>
      </c>
      <c r="D23" s="441">
        <v>20</v>
      </c>
      <c r="E23" s="441">
        <v>120</v>
      </c>
      <c r="F23" s="441">
        <f t="shared" si="0"/>
        <v>2400</v>
      </c>
      <c r="G23" s="1056"/>
      <c r="H23" s="1057"/>
      <c r="I23" s="1057"/>
      <c r="J23" s="1057"/>
      <c r="K23" s="1057"/>
      <c r="L23" s="1057"/>
    </row>
    <row r="24" spans="1:11" s="337" customFormat="1" ht="15.75">
      <c r="A24" s="583">
        <v>18</v>
      </c>
      <c r="B24" s="448" t="s">
        <v>1059</v>
      </c>
      <c r="C24" s="446" t="s">
        <v>749</v>
      </c>
      <c r="D24" s="441">
        <v>20</v>
      </c>
      <c r="E24" s="441">
        <v>95.25</v>
      </c>
      <c r="F24" s="441">
        <f t="shared" si="0"/>
        <v>1905</v>
      </c>
      <c r="G24" s="1058"/>
      <c r="H24" s="1059"/>
      <c r="I24" s="1059"/>
      <c r="J24" s="1059"/>
      <c r="K24" s="1059"/>
    </row>
    <row r="25" spans="1:11" s="337" customFormat="1" ht="15.75">
      <c r="A25" s="583">
        <v>19</v>
      </c>
      <c r="B25" s="448" t="s">
        <v>1060</v>
      </c>
      <c r="C25" s="446" t="s">
        <v>749</v>
      </c>
      <c r="D25" s="447">
        <v>15</v>
      </c>
      <c r="E25" s="447">
        <v>240</v>
      </c>
      <c r="F25" s="441">
        <f t="shared" si="0"/>
        <v>3600</v>
      </c>
      <c r="G25" s="1060"/>
      <c r="H25" s="1059"/>
      <c r="I25" s="1059"/>
      <c r="J25" s="1059"/>
      <c r="K25" s="1059"/>
    </row>
    <row r="26" spans="1:11" s="337" customFormat="1" ht="15.75">
      <c r="A26" s="583">
        <v>20</v>
      </c>
      <c r="B26" s="448" t="s">
        <v>1061</v>
      </c>
      <c r="C26" s="446" t="s">
        <v>1050</v>
      </c>
      <c r="D26" s="447">
        <v>40</v>
      </c>
      <c r="E26" s="447">
        <v>18.49</v>
      </c>
      <c r="F26" s="441">
        <f t="shared" si="0"/>
        <v>739.5999999999999</v>
      </c>
      <c r="G26" s="1060"/>
      <c r="H26" s="1059"/>
      <c r="I26" s="1059"/>
      <c r="J26" s="1059"/>
      <c r="K26" s="1059"/>
    </row>
    <row r="27" spans="1:6" s="337" customFormat="1" ht="15.75">
      <c r="A27" s="583">
        <v>21</v>
      </c>
      <c r="B27" s="448" t="s">
        <v>1062</v>
      </c>
      <c r="C27" s="446" t="s">
        <v>749</v>
      </c>
      <c r="D27" s="447">
        <v>200</v>
      </c>
      <c r="E27" s="447">
        <v>1.52</v>
      </c>
      <c r="F27" s="441">
        <f t="shared" si="0"/>
        <v>304</v>
      </c>
    </row>
    <row r="28" spans="1:6" s="337" customFormat="1" ht="15.75">
      <c r="A28" s="583">
        <v>22</v>
      </c>
      <c r="B28" s="448" t="s">
        <v>1063</v>
      </c>
      <c r="C28" s="446" t="s">
        <v>749</v>
      </c>
      <c r="D28" s="447">
        <v>200</v>
      </c>
      <c r="E28" s="447">
        <v>2.67</v>
      </c>
      <c r="F28" s="441">
        <f t="shared" si="0"/>
        <v>534</v>
      </c>
    </row>
    <row r="29" spans="1:6" s="337" customFormat="1" ht="15.75">
      <c r="A29" s="583">
        <v>23</v>
      </c>
      <c r="B29" s="448" t="s">
        <v>1064</v>
      </c>
      <c r="C29" s="446" t="s">
        <v>749</v>
      </c>
      <c r="D29" s="447">
        <v>200</v>
      </c>
      <c r="E29" s="447">
        <v>2.78</v>
      </c>
      <c r="F29" s="441">
        <f t="shared" si="0"/>
        <v>556</v>
      </c>
    </row>
    <row r="30" spans="1:6" s="337" customFormat="1" ht="15.75">
      <c r="A30" s="583">
        <v>24</v>
      </c>
      <c r="B30" s="448" t="s">
        <v>1065</v>
      </c>
      <c r="C30" s="446" t="s">
        <v>749</v>
      </c>
      <c r="D30" s="447">
        <v>200</v>
      </c>
      <c r="E30" s="447">
        <v>3.01</v>
      </c>
      <c r="F30" s="441">
        <f t="shared" si="0"/>
        <v>602</v>
      </c>
    </row>
    <row r="31" spans="1:6" s="337" customFormat="1" ht="15.75">
      <c r="A31" s="339">
        <v>25</v>
      </c>
      <c r="B31" s="448" t="s">
        <v>1066</v>
      </c>
      <c r="C31" s="446" t="s">
        <v>749</v>
      </c>
      <c r="D31" s="447">
        <v>100</v>
      </c>
      <c r="E31" s="447">
        <v>2.67</v>
      </c>
      <c r="F31" s="441">
        <f t="shared" si="0"/>
        <v>267</v>
      </c>
    </row>
    <row r="32" spans="1:6" s="337" customFormat="1" ht="15.75">
      <c r="A32" s="339">
        <v>26</v>
      </c>
      <c r="B32" s="448" t="s">
        <v>1067</v>
      </c>
      <c r="C32" s="446" t="s">
        <v>749</v>
      </c>
      <c r="D32" s="447">
        <v>200</v>
      </c>
      <c r="E32" s="447">
        <v>3.55</v>
      </c>
      <c r="F32" s="441">
        <f t="shared" si="0"/>
        <v>710</v>
      </c>
    </row>
    <row r="33" spans="1:6" s="337" customFormat="1" ht="15.75">
      <c r="A33" s="339">
        <v>27</v>
      </c>
      <c r="B33" s="448" t="s">
        <v>1068</v>
      </c>
      <c r="C33" s="446" t="s">
        <v>749</v>
      </c>
      <c r="D33" s="447">
        <v>350</v>
      </c>
      <c r="E33" s="447">
        <v>3.55</v>
      </c>
      <c r="F33" s="441">
        <f t="shared" si="0"/>
        <v>1242.5</v>
      </c>
    </row>
    <row r="34" spans="1:6" s="337" customFormat="1" ht="15.75">
      <c r="A34" s="339">
        <v>28</v>
      </c>
      <c r="B34" s="448" t="s">
        <v>1069</v>
      </c>
      <c r="C34" s="446" t="s">
        <v>749</v>
      </c>
      <c r="D34" s="447">
        <v>50</v>
      </c>
      <c r="E34" s="447">
        <v>20.64</v>
      </c>
      <c r="F34" s="441">
        <f t="shared" si="0"/>
        <v>1032</v>
      </c>
    </row>
    <row r="35" spans="1:6" s="337" customFormat="1" ht="15.75">
      <c r="A35" s="339">
        <v>29</v>
      </c>
      <c r="B35" s="448" t="s">
        <v>1070</v>
      </c>
      <c r="C35" s="446" t="s">
        <v>749</v>
      </c>
      <c r="D35" s="447">
        <v>40</v>
      </c>
      <c r="E35" s="447">
        <v>5.16</v>
      </c>
      <c r="F35" s="441">
        <f t="shared" si="0"/>
        <v>206.4</v>
      </c>
    </row>
    <row r="36" spans="1:6" s="337" customFormat="1" ht="15.75">
      <c r="A36" s="339">
        <v>30</v>
      </c>
      <c r="B36" s="448" t="s">
        <v>1071</v>
      </c>
      <c r="C36" s="446" t="s">
        <v>749</v>
      </c>
      <c r="D36" s="447">
        <v>15</v>
      </c>
      <c r="E36" s="447">
        <v>5.55</v>
      </c>
      <c r="F36" s="441">
        <f t="shared" si="0"/>
        <v>83.25</v>
      </c>
    </row>
    <row r="37" spans="1:6" s="337" customFormat="1" ht="15.75">
      <c r="A37" s="339">
        <v>31</v>
      </c>
      <c r="B37" s="448" t="s">
        <v>1072</v>
      </c>
      <c r="C37" s="446" t="s">
        <v>749</v>
      </c>
      <c r="D37" s="447">
        <v>40</v>
      </c>
      <c r="E37" s="447">
        <v>5.53</v>
      </c>
      <c r="F37" s="441">
        <f t="shared" si="0"/>
        <v>221.20000000000002</v>
      </c>
    </row>
    <row r="38" spans="1:6" s="337" customFormat="1" ht="15.75">
      <c r="A38" s="339">
        <v>32</v>
      </c>
      <c r="B38" s="448" t="s">
        <v>1073</v>
      </c>
      <c r="C38" s="446" t="s">
        <v>1050</v>
      </c>
      <c r="D38" s="447">
        <v>20</v>
      </c>
      <c r="E38" s="447">
        <v>80</v>
      </c>
      <c r="F38" s="441">
        <f t="shared" si="0"/>
        <v>1600</v>
      </c>
    </row>
    <row r="39" spans="1:6" s="337" customFormat="1" ht="15.75">
      <c r="A39" s="339">
        <v>33</v>
      </c>
      <c r="B39" s="448" t="s">
        <v>1074</v>
      </c>
      <c r="C39" s="446" t="s">
        <v>749</v>
      </c>
      <c r="D39" s="447">
        <v>20</v>
      </c>
      <c r="E39" s="447">
        <v>12.69</v>
      </c>
      <c r="F39" s="441">
        <f t="shared" si="0"/>
        <v>253.79999999999998</v>
      </c>
    </row>
    <row r="40" spans="1:6" s="337" customFormat="1" ht="15.75">
      <c r="A40" s="339"/>
      <c r="B40" s="1021" t="s">
        <v>568</v>
      </c>
      <c r="C40" s="1022"/>
      <c r="D40" s="1022"/>
      <c r="E40" s="1023"/>
      <c r="F40" s="462">
        <f>SUM(F7:F39)</f>
        <v>27029.95</v>
      </c>
    </row>
    <row r="41" spans="1:6" s="337" customFormat="1" ht="15.75" hidden="1">
      <c r="A41" s="1061" t="s">
        <v>1075</v>
      </c>
      <c r="B41" s="1062"/>
      <c r="C41" s="1062"/>
      <c r="D41" s="1062"/>
      <c r="E41" s="1063"/>
      <c r="F41" s="462"/>
    </row>
    <row r="42" s="449" customFormat="1" ht="15.75">
      <c r="C42" s="459"/>
    </row>
    <row r="43" spans="1:6" s="585" customFormat="1" ht="21" customHeight="1" hidden="1">
      <c r="A43" s="584" t="s">
        <v>569</v>
      </c>
      <c r="B43" s="584"/>
      <c r="C43" s="584"/>
      <c r="D43" s="584"/>
      <c r="E43" s="584"/>
      <c r="F43" s="584" t="s">
        <v>1039</v>
      </c>
    </row>
    <row r="44" spans="1:6" s="585" customFormat="1" ht="15.75" hidden="1">
      <c r="A44" s="584"/>
      <c r="B44" s="584"/>
      <c r="C44" s="584"/>
      <c r="D44" s="584"/>
      <c r="E44" s="584"/>
      <c r="F44" s="584"/>
    </row>
    <row r="45" spans="1:6" s="585" customFormat="1" ht="15.75" hidden="1">
      <c r="A45" s="584" t="s">
        <v>416</v>
      </c>
      <c r="B45" s="584"/>
      <c r="C45" s="584"/>
      <c r="D45" s="584"/>
      <c r="E45" s="584"/>
      <c r="F45" s="584" t="s">
        <v>903</v>
      </c>
    </row>
    <row r="46" spans="1:6" s="449" customFormat="1" ht="22.5" customHeight="1">
      <c r="A46" s="1064" t="s">
        <v>1117</v>
      </c>
      <c r="B46" s="1064"/>
      <c r="C46" s="1064"/>
      <c r="D46" s="1064"/>
      <c r="E46" s="1064"/>
      <c r="F46" s="586"/>
    </row>
    <row r="47" spans="1:6" ht="15.75">
      <c r="A47" s="1065"/>
      <c r="B47" s="1065"/>
      <c r="C47" s="1065"/>
      <c r="D47" s="1065"/>
      <c r="E47" s="1065"/>
      <c r="F47" s="1065"/>
    </row>
    <row r="48" spans="1:6" ht="15.75">
      <c r="A48" s="1065"/>
      <c r="B48" s="1065"/>
      <c r="C48" s="1065"/>
      <c r="D48" s="1065"/>
      <c r="E48" s="1065"/>
      <c r="F48" s="586"/>
    </row>
    <row r="49" spans="1:6" ht="31.5">
      <c r="A49" s="588" t="s">
        <v>556</v>
      </c>
      <c r="B49" s="588" t="s">
        <v>2</v>
      </c>
      <c r="C49" s="588" t="s">
        <v>1076</v>
      </c>
      <c r="D49" s="588" t="s">
        <v>880</v>
      </c>
      <c r="E49" s="588" t="s">
        <v>1077</v>
      </c>
      <c r="F49" s="588" t="s">
        <v>1078</v>
      </c>
    </row>
    <row r="50" spans="1:6" ht="15.75">
      <c r="A50" s="448">
        <v>1</v>
      </c>
      <c r="B50" s="448" t="s">
        <v>1079</v>
      </c>
      <c r="C50" s="448" t="s">
        <v>749</v>
      </c>
      <c r="D50" s="447">
        <v>150</v>
      </c>
      <c r="E50" s="447">
        <v>195</v>
      </c>
      <c r="F50" s="447">
        <f aca="true" t="shared" si="1" ref="F50:F57">D50*E50</f>
        <v>29250</v>
      </c>
    </row>
    <row r="51" spans="1:6" ht="15.75">
      <c r="A51" s="448">
        <v>2</v>
      </c>
      <c r="B51" s="448" t="s">
        <v>1080</v>
      </c>
      <c r="C51" s="448" t="s">
        <v>749</v>
      </c>
      <c r="D51" s="447">
        <v>20</v>
      </c>
      <c r="E51" s="447">
        <v>9.87</v>
      </c>
      <c r="F51" s="447">
        <f t="shared" si="1"/>
        <v>197.39999999999998</v>
      </c>
    </row>
    <row r="52" spans="1:6" ht="15.75">
      <c r="A52" s="448">
        <f>A51+1</f>
        <v>3</v>
      </c>
      <c r="B52" s="448" t="s">
        <v>1081</v>
      </c>
      <c r="C52" s="448" t="s">
        <v>749</v>
      </c>
      <c r="D52" s="447">
        <v>20</v>
      </c>
      <c r="E52" s="447">
        <v>8.3</v>
      </c>
      <c r="F52" s="447">
        <f t="shared" si="1"/>
        <v>166</v>
      </c>
    </row>
    <row r="53" spans="1:6" ht="15.75">
      <c r="A53" s="448">
        <v>4</v>
      </c>
      <c r="B53" s="448" t="s">
        <v>1082</v>
      </c>
      <c r="C53" s="448" t="s">
        <v>749</v>
      </c>
      <c r="D53" s="447">
        <v>100</v>
      </c>
      <c r="E53" s="447">
        <v>2.14</v>
      </c>
      <c r="F53" s="447">
        <f t="shared" si="1"/>
        <v>214</v>
      </c>
    </row>
    <row r="54" spans="1:6" ht="15.75">
      <c r="A54" s="448">
        <v>5</v>
      </c>
      <c r="B54" s="448" t="s">
        <v>1083</v>
      </c>
      <c r="C54" s="448" t="s">
        <v>1050</v>
      </c>
      <c r="D54" s="447">
        <v>100</v>
      </c>
      <c r="E54" s="447">
        <v>4.96</v>
      </c>
      <c r="F54" s="447">
        <f t="shared" si="1"/>
        <v>496</v>
      </c>
    </row>
    <row r="55" spans="1:6" ht="15.75">
      <c r="A55" s="448">
        <v>6</v>
      </c>
      <c r="B55" s="448" t="s">
        <v>1084</v>
      </c>
      <c r="C55" s="448" t="s">
        <v>749</v>
      </c>
      <c r="D55" s="447">
        <v>500</v>
      </c>
      <c r="E55" s="447">
        <v>2</v>
      </c>
      <c r="F55" s="447">
        <f t="shared" si="1"/>
        <v>1000</v>
      </c>
    </row>
    <row r="56" spans="1:6" ht="15.75">
      <c r="A56" s="448">
        <v>7</v>
      </c>
      <c r="B56" s="448" t="s">
        <v>1085</v>
      </c>
      <c r="C56" s="448" t="s">
        <v>749</v>
      </c>
      <c r="D56" s="447">
        <v>5</v>
      </c>
      <c r="E56" s="447">
        <v>47.48</v>
      </c>
      <c r="F56" s="447">
        <f t="shared" si="1"/>
        <v>237.39999999999998</v>
      </c>
    </row>
    <row r="57" spans="1:6" ht="15.75">
      <c r="A57" s="448">
        <v>8</v>
      </c>
      <c r="B57" s="448" t="s">
        <v>1086</v>
      </c>
      <c r="C57" s="448" t="s">
        <v>749</v>
      </c>
      <c r="D57" s="447">
        <v>2</v>
      </c>
      <c r="E57" s="447">
        <v>26.67</v>
      </c>
      <c r="F57" s="447">
        <f t="shared" si="1"/>
        <v>53.34</v>
      </c>
    </row>
    <row r="58" spans="1:7" ht="15.75">
      <c r="A58" s="1053" t="s">
        <v>780</v>
      </c>
      <c r="B58" s="1054"/>
      <c r="C58" s="1054"/>
      <c r="D58" s="1054"/>
      <c r="E58" s="1055"/>
      <c r="F58" s="589">
        <f>SUM(F50:F57)</f>
        <v>31614.140000000003</v>
      </c>
      <c r="G58" s="600">
        <f>F58-F55-F50</f>
        <v>1364.140000000003</v>
      </c>
    </row>
    <row r="59" spans="1:6" ht="15.75">
      <c r="A59" s="590"/>
      <c r="B59" s="590"/>
      <c r="C59" s="590"/>
      <c r="D59" s="590"/>
      <c r="E59" s="591" t="s">
        <v>882</v>
      </c>
      <c r="F59" s="592">
        <f>F40+F58</f>
        <v>58644.090000000004</v>
      </c>
    </row>
    <row r="60" spans="1:6" ht="15.75">
      <c r="A60" s="590"/>
      <c r="B60" s="590"/>
      <c r="C60" s="590"/>
      <c r="D60" s="590"/>
      <c r="E60" s="593"/>
      <c r="F60" s="594"/>
    </row>
  </sheetData>
  <sheetProtection/>
  <mergeCells count="13">
    <mergeCell ref="A3:F3"/>
    <mergeCell ref="A4:F4"/>
    <mergeCell ref="B6:F6"/>
    <mergeCell ref="A1:F1"/>
    <mergeCell ref="A2:F2"/>
    <mergeCell ref="A48:E48"/>
    <mergeCell ref="A58:E58"/>
    <mergeCell ref="G23:L23"/>
    <mergeCell ref="G24:K26"/>
    <mergeCell ref="B40:E40"/>
    <mergeCell ref="A41:E41"/>
    <mergeCell ref="A46:E46"/>
    <mergeCell ref="A47:F47"/>
  </mergeCells>
  <printOptions/>
  <pageMargins left="1.05" right="0.1968503937007874" top="0.7874015748031497" bottom="0" header="0.5118110236220472" footer="0.5118110236220472"/>
  <pageSetup horizontalDpi="600" verticalDpi="600" orientation="portrait" paperSize="9" scale="79" r:id="rId1"/>
  <rowBreaks count="1" manualBreakCount="1">
    <brk id="2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44"/>
  <sheetViews>
    <sheetView zoomScalePageLayoutView="0" workbookViewId="0" topLeftCell="A19">
      <selection activeCell="A43" sqref="A43"/>
    </sheetView>
  </sheetViews>
  <sheetFormatPr defaultColWidth="9.00390625" defaultRowHeight="12.75"/>
  <cols>
    <col min="1" max="1" width="4.375" style="337" customWidth="1"/>
    <col min="2" max="2" width="42.375" style="458" customWidth="1"/>
    <col min="3" max="3" width="8.125" style="337" bestFit="1" customWidth="1"/>
    <col min="4" max="4" width="9.00390625" style="337" customWidth="1"/>
    <col min="5" max="5" width="10.75390625" style="459" customWidth="1"/>
    <col min="6" max="6" width="13.25390625" style="459" customWidth="1"/>
    <col min="7" max="7" width="10.125" style="337" bestFit="1" customWidth="1"/>
    <col min="8" max="16384" width="9.125" style="337" customWidth="1"/>
  </cols>
  <sheetData>
    <row r="1" spans="1:6" ht="18.75">
      <c r="A1" s="862" t="s">
        <v>742</v>
      </c>
      <c r="B1" s="862"/>
      <c r="C1" s="862"/>
      <c r="D1" s="862"/>
      <c r="E1" s="862"/>
      <c r="F1" s="862"/>
    </row>
    <row r="2" spans="1:6" ht="15.75">
      <c r="A2" s="862" t="s">
        <v>656</v>
      </c>
      <c r="B2" s="862"/>
      <c r="C2" s="862"/>
      <c r="D2" s="862"/>
      <c r="E2" s="862"/>
      <c r="F2" s="862"/>
    </row>
    <row r="3" spans="1:6" ht="15.75">
      <c r="A3" s="1074"/>
      <c r="B3" s="1074"/>
      <c r="C3" s="1074"/>
      <c r="D3" s="1074"/>
      <c r="E3" s="1074"/>
      <c r="F3" s="1074"/>
    </row>
    <row r="5" spans="1:6" s="388" customFormat="1" ht="15.75">
      <c r="A5" s="1075" t="s">
        <v>556</v>
      </c>
      <c r="B5" s="1078" t="s">
        <v>743</v>
      </c>
      <c r="C5" s="1081" t="s">
        <v>744</v>
      </c>
      <c r="D5" s="1084" t="s">
        <v>745</v>
      </c>
      <c r="E5" s="1069" t="s">
        <v>746</v>
      </c>
      <c r="F5" s="1069" t="s">
        <v>747</v>
      </c>
    </row>
    <row r="6" spans="1:6" ht="15.75">
      <c r="A6" s="1076"/>
      <c r="B6" s="1079"/>
      <c r="C6" s="1082"/>
      <c r="D6" s="1084"/>
      <c r="E6" s="1069"/>
      <c r="F6" s="1069"/>
    </row>
    <row r="7" spans="1:6" ht="15.75">
      <c r="A7" s="1077"/>
      <c r="B7" s="1080"/>
      <c r="C7" s="1083"/>
      <c r="D7" s="1084"/>
      <c r="E7" s="1069"/>
      <c r="F7" s="1069"/>
    </row>
    <row r="8" spans="1:6" ht="15.75">
      <c r="A8" s="436">
        <v>1</v>
      </c>
      <c r="B8" s="437" t="s">
        <v>748</v>
      </c>
      <c r="C8" s="438" t="s">
        <v>749</v>
      </c>
      <c r="D8" s="439">
        <v>2</v>
      </c>
      <c r="E8" s="439">
        <v>300</v>
      </c>
      <c r="F8" s="439">
        <f>D8*E8</f>
        <v>600</v>
      </c>
    </row>
    <row r="9" spans="1:6" ht="15.75">
      <c r="A9" s="436">
        <f>A8+1</f>
        <v>2</v>
      </c>
      <c r="B9" s="437" t="s">
        <v>750</v>
      </c>
      <c r="C9" s="440" t="s">
        <v>749</v>
      </c>
      <c r="D9" s="441">
        <v>2</v>
      </c>
      <c r="E9" s="441">
        <v>650</v>
      </c>
      <c r="F9" s="439">
        <f aca="true" t="shared" si="0" ref="F9:F37">D9*E9</f>
        <v>1300</v>
      </c>
    </row>
    <row r="10" spans="1:6" ht="15.75">
      <c r="A10" s="436">
        <f aca="true" t="shared" si="1" ref="A10:A36">A9+1</f>
        <v>3</v>
      </c>
      <c r="B10" s="442" t="s">
        <v>751</v>
      </c>
      <c r="C10" s="440" t="s">
        <v>749</v>
      </c>
      <c r="D10" s="441">
        <v>1</v>
      </c>
      <c r="E10" s="441">
        <v>3403.2</v>
      </c>
      <c r="F10" s="439">
        <f t="shared" si="0"/>
        <v>3403.2</v>
      </c>
    </row>
    <row r="11" spans="1:6" ht="15.75">
      <c r="A11" s="436">
        <f t="shared" si="1"/>
        <v>4</v>
      </c>
      <c r="B11" s="442" t="s">
        <v>752</v>
      </c>
      <c r="C11" s="440" t="s">
        <v>749</v>
      </c>
      <c r="D11" s="441">
        <v>1</v>
      </c>
      <c r="E11" s="441">
        <v>3000</v>
      </c>
      <c r="F11" s="439">
        <f t="shared" si="0"/>
        <v>3000</v>
      </c>
    </row>
    <row r="12" spans="1:6" ht="15.75">
      <c r="A12" s="436">
        <f t="shared" si="1"/>
        <v>5</v>
      </c>
      <c r="B12" s="442" t="s">
        <v>753</v>
      </c>
      <c r="C12" s="440" t="s">
        <v>754</v>
      </c>
      <c r="D12" s="441">
        <v>1</v>
      </c>
      <c r="E12" s="441">
        <v>350</v>
      </c>
      <c r="F12" s="439">
        <f t="shared" si="0"/>
        <v>350</v>
      </c>
    </row>
    <row r="13" spans="1:6" ht="15.75">
      <c r="A13" s="436">
        <f t="shared" si="1"/>
        <v>6</v>
      </c>
      <c r="B13" s="442" t="s">
        <v>755</v>
      </c>
      <c r="C13" s="440" t="s">
        <v>749</v>
      </c>
      <c r="D13" s="441">
        <v>2</v>
      </c>
      <c r="E13" s="441">
        <v>450</v>
      </c>
      <c r="F13" s="439">
        <f t="shared" si="0"/>
        <v>900</v>
      </c>
    </row>
    <row r="14" spans="1:6" ht="15.75">
      <c r="A14" s="436">
        <f t="shared" si="1"/>
        <v>7</v>
      </c>
      <c r="B14" s="442" t="s">
        <v>756</v>
      </c>
      <c r="C14" s="440" t="s">
        <v>749</v>
      </c>
      <c r="D14" s="441">
        <v>1</v>
      </c>
      <c r="E14" s="441">
        <v>1238.4</v>
      </c>
      <c r="F14" s="439">
        <f t="shared" si="0"/>
        <v>1238.4</v>
      </c>
    </row>
    <row r="15" spans="1:6" ht="15.75">
      <c r="A15" s="436">
        <f t="shared" si="1"/>
        <v>8</v>
      </c>
      <c r="B15" s="442" t="s">
        <v>757</v>
      </c>
      <c r="C15" s="443" t="s">
        <v>749</v>
      </c>
      <c r="D15" s="441">
        <v>1</v>
      </c>
      <c r="E15" s="444">
        <v>450</v>
      </c>
      <c r="F15" s="445">
        <f t="shared" si="0"/>
        <v>450</v>
      </c>
    </row>
    <row r="16" spans="1:6" ht="15.75">
      <c r="A16" s="436">
        <f t="shared" si="1"/>
        <v>9</v>
      </c>
      <c r="B16" s="442" t="s">
        <v>758</v>
      </c>
      <c r="C16" s="446" t="s">
        <v>749</v>
      </c>
      <c r="D16" s="441">
        <v>2</v>
      </c>
      <c r="E16" s="447">
        <v>300</v>
      </c>
      <c r="F16" s="445">
        <f t="shared" si="0"/>
        <v>600</v>
      </c>
    </row>
    <row r="17" spans="1:6" ht="15.75">
      <c r="A17" s="436">
        <f t="shared" si="1"/>
        <v>10</v>
      </c>
      <c r="B17" s="448" t="s">
        <v>759</v>
      </c>
      <c r="C17" s="446" t="s">
        <v>754</v>
      </c>
      <c r="D17" s="441">
        <v>1</v>
      </c>
      <c r="E17" s="447">
        <v>310</v>
      </c>
      <c r="F17" s="445">
        <f t="shared" si="0"/>
        <v>310</v>
      </c>
    </row>
    <row r="18" spans="1:6" ht="15.75">
      <c r="A18" s="436">
        <f t="shared" si="1"/>
        <v>11</v>
      </c>
      <c r="B18" s="448" t="s">
        <v>760</v>
      </c>
      <c r="C18" s="446" t="s">
        <v>754</v>
      </c>
      <c r="D18" s="441">
        <v>1</v>
      </c>
      <c r="E18" s="441">
        <v>100</v>
      </c>
      <c r="F18" s="445">
        <f t="shared" si="0"/>
        <v>100</v>
      </c>
    </row>
    <row r="19" spans="1:6" ht="15.75">
      <c r="A19" s="436">
        <f t="shared" si="1"/>
        <v>12</v>
      </c>
      <c r="B19" s="448" t="s">
        <v>761</v>
      </c>
      <c r="C19" s="440" t="s">
        <v>749</v>
      </c>
      <c r="D19" s="441">
        <v>1</v>
      </c>
      <c r="E19" s="441">
        <v>1350</v>
      </c>
      <c r="F19" s="445">
        <f t="shared" si="0"/>
        <v>1350</v>
      </c>
    </row>
    <row r="20" spans="1:6" ht="15.75">
      <c r="A20" s="436">
        <f t="shared" si="1"/>
        <v>13</v>
      </c>
      <c r="B20" s="442" t="s">
        <v>762</v>
      </c>
      <c r="C20" s="446" t="s">
        <v>754</v>
      </c>
      <c r="D20" s="441">
        <v>1</v>
      </c>
      <c r="E20" s="441">
        <v>650</v>
      </c>
      <c r="F20" s="445">
        <f t="shared" si="0"/>
        <v>650</v>
      </c>
    </row>
    <row r="21" spans="1:6" ht="15.75">
      <c r="A21" s="436">
        <f t="shared" si="1"/>
        <v>14</v>
      </c>
      <c r="B21" s="448" t="s">
        <v>763</v>
      </c>
      <c r="C21" s="446" t="s">
        <v>749</v>
      </c>
      <c r="D21" s="441">
        <v>1</v>
      </c>
      <c r="E21" s="447">
        <v>1250</v>
      </c>
      <c r="F21" s="445">
        <f t="shared" si="0"/>
        <v>1250</v>
      </c>
    </row>
    <row r="22" spans="1:6" ht="15.75">
      <c r="A22" s="436">
        <f t="shared" si="1"/>
        <v>15</v>
      </c>
      <c r="B22" s="448" t="s">
        <v>764</v>
      </c>
      <c r="C22" s="446" t="s">
        <v>749</v>
      </c>
      <c r="D22" s="441">
        <v>1</v>
      </c>
      <c r="E22" s="447">
        <v>1050</v>
      </c>
      <c r="F22" s="445">
        <f t="shared" si="0"/>
        <v>1050</v>
      </c>
    </row>
    <row r="23" spans="1:6" ht="15.75" customHeight="1">
      <c r="A23" s="436">
        <f t="shared" si="1"/>
        <v>16</v>
      </c>
      <c r="B23" s="448" t="s">
        <v>765</v>
      </c>
      <c r="C23" s="446" t="s">
        <v>754</v>
      </c>
      <c r="D23" s="441">
        <v>1</v>
      </c>
      <c r="E23" s="447">
        <v>670</v>
      </c>
      <c r="F23" s="445">
        <f t="shared" si="0"/>
        <v>670</v>
      </c>
    </row>
    <row r="24" spans="1:6" ht="15.75">
      <c r="A24" s="436">
        <f t="shared" si="1"/>
        <v>17</v>
      </c>
      <c r="B24" s="448" t="s">
        <v>766</v>
      </c>
      <c r="C24" s="446" t="s">
        <v>749</v>
      </c>
      <c r="D24" s="441">
        <v>1</v>
      </c>
      <c r="E24" s="447">
        <v>330</v>
      </c>
      <c r="F24" s="445">
        <f t="shared" si="0"/>
        <v>330</v>
      </c>
    </row>
    <row r="25" spans="1:6" s="449" customFormat="1" ht="24" customHeight="1">
      <c r="A25" s="436">
        <f t="shared" si="1"/>
        <v>18</v>
      </c>
      <c r="B25" s="448" t="s">
        <v>767</v>
      </c>
      <c r="C25" s="446" t="s">
        <v>754</v>
      </c>
      <c r="D25" s="441">
        <v>2</v>
      </c>
      <c r="E25" s="447">
        <v>450</v>
      </c>
      <c r="F25" s="445">
        <f t="shared" si="0"/>
        <v>900</v>
      </c>
    </row>
    <row r="26" spans="1:6" s="449" customFormat="1" ht="15.75">
      <c r="A26" s="436">
        <f t="shared" si="1"/>
        <v>19</v>
      </c>
      <c r="B26" s="448" t="s">
        <v>768</v>
      </c>
      <c r="C26" s="446" t="s">
        <v>749</v>
      </c>
      <c r="D26" s="441">
        <v>1</v>
      </c>
      <c r="E26" s="447">
        <v>390</v>
      </c>
      <c r="F26" s="445">
        <f t="shared" si="0"/>
        <v>390</v>
      </c>
    </row>
    <row r="27" spans="1:6" s="449" customFormat="1" ht="15.75">
      <c r="A27" s="436">
        <f t="shared" si="1"/>
        <v>20</v>
      </c>
      <c r="B27" s="448" t="s">
        <v>769</v>
      </c>
      <c r="C27" s="446" t="s">
        <v>749</v>
      </c>
      <c r="D27" s="441">
        <v>1</v>
      </c>
      <c r="E27" s="447">
        <v>780</v>
      </c>
      <c r="F27" s="445">
        <f t="shared" si="0"/>
        <v>780</v>
      </c>
    </row>
    <row r="28" spans="1:7" s="449" customFormat="1" ht="15.75">
      <c r="A28" s="436">
        <f>A27+1</f>
        <v>21</v>
      </c>
      <c r="B28" s="448" t="s">
        <v>770</v>
      </c>
      <c r="C28" s="446" t="s">
        <v>749</v>
      </c>
      <c r="D28" s="441">
        <v>1</v>
      </c>
      <c r="E28" s="447">
        <v>1300</v>
      </c>
      <c r="F28" s="445">
        <v>1301.4</v>
      </c>
      <c r="G28" s="450"/>
    </row>
    <row r="29" spans="1:6" s="449" customFormat="1" ht="15.75">
      <c r="A29" s="436">
        <f t="shared" si="1"/>
        <v>22</v>
      </c>
      <c r="B29" s="448" t="s">
        <v>771</v>
      </c>
      <c r="C29" s="446" t="s">
        <v>749</v>
      </c>
      <c r="D29" s="441">
        <v>1</v>
      </c>
      <c r="E29" s="447">
        <v>240</v>
      </c>
      <c r="F29" s="445">
        <f t="shared" si="0"/>
        <v>240</v>
      </c>
    </row>
    <row r="30" spans="1:6" s="449" customFormat="1" ht="15.75">
      <c r="A30" s="436">
        <f t="shared" si="1"/>
        <v>23</v>
      </c>
      <c r="B30" s="448" t="s">
        <v>772</v>
      </c>
      <c r="C30" s="446" t="s">
        <v>754</v>
      </c>
      <c r="D30" s="441">
        <v>1</v>
      </c>
      <c r="E30" s="447">
        <v>740</v>
      </c>
      <c r="F30" s="445">
        <f t="shared" si="0"/>
        <v>740</v>
      </c>
    </row>
    <row r="31" spans="1:6" s="449" customFormat="1" ht="15.75">
      <c r="A31" s="436">
        <f t="shared" si="1"/>
        <v>24</v>
      </c>
      <c r="B31" s="448" t="s">
        <v>773</v>
      </c>
      <c r="C31" s="446" t="s">
        <v>754</v>
      </c>
      <c r="D31" s="441">
        <v>1</v>
      </c>
      <c r="E31" s="447">
        <v>740</v>
      </c>
      <c r="F31" s="445">
        <f t="shared" si="0"/>
        <v>740</v>
      </c>
    </row>
    <row r="32" spans="1:6" ht="15.75">
      <c r="A32" s="436">
        <f t="shared" si="1"/>
        <v>25</v>
      </c>
      <c r="B32" s="448" t="s">
        <v>774</v>
      </c>
      <c r="C32" s="446" t="s">
        <v>754</v>
      </c>
      <c r="D32" s="441">
        <v>1</v>
      </c>
      <c r="E32" s="447">
        <v>2800</v>
      </c>
      <c r="F32" s="445">
        <f t="shared" si="0"/>
        <v>2800</v>
      </c>
    </row>
    <row r="33" spans="1:6" ht="15.75">
      <c r="A33" s="436">
        <f t="shared" si="1"/>
        <v>26</v>
      </c>
      <c r="B33" s="448" t="s">
        <v>775</v>
      </c>
      <c r="C33" s="446" t="s">
        <v>754</v>
      </c>
      <c r="D33" s="441">
        <v>1</v>
      </c>
      <c r="E33" s="447">
        <v>1140</v>
      </c>
      <c r="F33" s="445">
        <f t="shared" si="0"/>
        <v>1140</v>
      </c>
    </row>
    <row r="34" spans="1:6" ht="15.75">
      <c r="A34" s="436">
        <f t="shared" si="1"/>
        <v>27</v>
      </c>
      <c r="B34" s="448" t="s">
        <v>776</v>
      </c>
      <c r="C34" s="446" t="s">
        <v>749</v>
      </c>
      <c r="D34" s="441">
        <v>1</v>
      </c>
      <c r="E34" s="447">
        <v>370</v>
      </c>
      <c r="F34" s="445">
        <f t="shared" si="0"/>
        <v>370</v>
      </c>
    </row>
    <row r="35" spans="1:6" ht="15.75">
      <c r="A35" s="436">
        <f t="shared" si="1"/>
        <v>28</v>
      </c>
      <c r="B35" s="448" t="s">
        <v>777</v>
      </c>
      <c r="C35" s="446" t="s">
        <v>754</v>
      </c>
      <c r="D35" s="441">
        <v>1</v>
      </c>
      <c r="E35" s="447">
        <v>2800</v>
      </c>
      <c r="F35" s="445">
        <f t="shared" si="0"/>
        <v>2800</v>
      </c>
    </row>
    <row r="36" spans="1:6" ht="15.75">
      <c r="A36" s="436">
        <f t="shared" si="1"/>
        <v>29</v>
      </c>
      <c r="B36" s="448" t="s">
        <v>778</v>
      </c>
      <c r="C36" s="446" t="s">
        <v>749</v>
      </c>
      <c r="D36" s="441">
        <v>1</v>
      </c>
      <c r="E36" s="447">
        <v>1000</v>
      </c>
      <c r="F36" s="445">
        <f t="shared" si="0"/>
        <v>1000</v>
      </c>
    </row>
    <row r="37" spans="1:7" ht="15.75">
      <c r="A37" s="436">
        <v>30</v>
      </c>
      <c r="B37" s="448" t="s">
        <v>779</v>
      </c>
      <c r="C37" s="446" t="s">
        <v>749</v>
      </c>
      <c r="D37" s="441">
        <v>1</v>
      </c>
      <c r="E37" s="447">
        <f>1398.78+800-0.37</f>
        <v>2198.41</v>
      </c>
      <c r="F37" s="445">
        <f t="shared" si="0"/>
        <v>2198.41</v>
      </c>
      <c r="G37" s="451"/>
    </row>
    <row r="38" spans="1:6" ht="15.75">
      <c r="A38" s="452"/>
      <c r="B38" s="1070" t="s">
        <v>780</v>
      </c>
      <c r="C38" s="1071"/>
      <c r="D38" s="1071"/>
      <c r="E38" s="1072"/>
      <c r="F38" s="453">
        <f>SUM(F8:F37)</f>
        <v>32951.41</v>
      </c>
    </row>
    <row r="41" spans="1:7" ht="15.75">
      <c r="A41" s="454"/>
      <c r="B41" s="388"/>
      <c r="E41" s="1073"/>
      <c r="F41" s="1073"/>
      <c r="G41" s="450"/>
    </row>
    <row r="42" spans="1:7" ht="15.75">
      <c r="A42" s="455"/>
      <c r="B42" s="455"/>
      <c r="E42" s="337"/>
      <c r="F42" s="456"/>
      <c r="G42" s="450"/>
    </row>
    <row r="43" spans="1:7" ht="26.25" customHeight="1">
      <c r="A43" s="457"/>
      <c r="B43" s="457"/>
      <c r="C43" s="457"/>
      <c r="D43" s="457"/>
      <c r="E43" s="934"/>
      <c r="F43" s="934"/>
      <c r="G43" s="450"/>
    </row>
    <row r="44" spans="1:7" ht="15.75">
      <c r="A44" s="388"/>
      <c r="B44" s="388"/>
      <c r="C44" s="388"/>
      <c r="E44" s="337"/>
      <c r="F44" s="337"/>
      <c r="G44" s="450"/>
    </row>
  </sheetData>
  <sheetProtection/>
  <mergeCells count="12">
    <mergeCell ref="C5:C7"/>
    <mergeCell ref="D5:D7"/>
    <mergeCell ref="E5:E7"/>
    <mergeCell ref="F5:F7"/>
    <mergeCell ref="B38:E38"/>
    <mergeCell ref="E41:F41"/>
    <mergeCell ref="E43:F43"/>
    <mergeCell ref="A1:F1"/>
    <mergeCell ref="A2:F2"/>
    <mergeCell ref="A3:F3"/>
    <mergeCell ref="A5:A7"/>
    <mergeCell ref="B5:B7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J409"/>
  <sheetViews>
    <sheetView zoomScalePageLayoutView="0" workbookViewId="0" topLeftCell="A1">
      <pane xSplit="2" ySplit="8" topLeftCell="D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412" sqref="K412"/>
    </sheetView>
  </sheetViews>
  <sheetFormatPr defaultColWidth="9.00390625" defaultRowHeight="12.75"/>
  <cols>
    <col min="1" max="1" width="2.875" style="43" customWidth="1"/>
    <col min="2" max="2" width="39.875" style="16" customWidth="1"/>
    <col min="3" max="3" width="17.75390625" style="44" customWidth="1"/>
    <col min="4" max="4" width="13.625" style="17" customWidth="1"/>
    <col min="5" max="5" width="10.875" style="11" bestFit="1" customWidth="1"/>
    <col min="6" max="6" width="8.125" style="62" customWidth="1"/>
    <col min="7" max="7" width="10.875" style="17" customWidth="1"/>
    <col min="8" max="8" width="10.875" style="11" bestFit="1" customWidth="1"/>
    <col min="9" max="9" width="8.125" style="62" customWidth="1"/>
    <col min="10" max="10" width="10.875" style="17" customWidth="1"/>
    <col min="11" max="11" width="10.875" style="11" bestFit="1" customWidth="1"/>
    <col min="12" max="12" width="8.125" style="62" customWidth="1"/>
    <col min="13" max="13" width="10.875" style="17" customWidth="1"/>
    <col min="14" max="14" width="27.375" style="12" customWidth="1"/>
    <col min="15" max="18" width="9.125" style="12" customWidth="1"/>
    <col min="19" max="36" width="9.125" style="82" customWidth="1"/>
    <col min="37" max="16384" width="9.125" style="12" customWidth="1"/>
  </cols>
  <sheetData>
    <row r="1" spans="1:36" s="9" customFormat="1" ht="15" customHeight="1">
      <c r="A1" s="51" t="s">
        <v>244</v>
      </c>
      <c r="B1" s="7"/>
      <c r="C1" s="19"/>
      <c r="D1" s="7"/>
      <c r="E1" s="8"/>
      <c r="F1" s="61"/>
      <c r="G1" s="18"/>
      <c r="H1" s="8"/>
      <c r="I1" s="61"/>
      <c r="J1" s="18"/>
      <c r="K1" s="8"/>
      <c r="L1" s="61"/>
      <c r="M1" s="18"/>
      <c r="N1" s="9" t="s">
        <v>417</v>
      </c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</row>
    <row r="2" spans="1:4" ht="15.75" customHeight="1">
      <c r="A2" s="20" t="s">
        <v>422</v>
      </c>
      <c r="B2" s="10"/>
      <c r="C2" s="21"/>
      <c r="D2" s="10"/>
    </row>
    <row r="3" spans="1:7" ht="15" customHeight="1" thickBot="1">
      <c r="A3" s="22"/>
      <c r="B3" s="13" t="s">
        <v>291</v>
      </c>
      <c r="C3" s="825" t="s">
        <v>421</v>
      </c>
      <c r="D3" s="825"/>
      <c r="E3" s="825"/>
      <c r="F3" s="825"/>
      <c r="G3" s="825"/>
    </row>
    <row r="4" spans="1:14" ht="15" customHeight="1">
      <c r="A4" s="23"/>
      <c r="B4" s="826" t="s">
        <v>2</v>
      </c>
      <c r="C4" s="828" t="s">
        <v>294</v>
      </c>
      <c r="D4" s="830" t="s">
        <v>295</v>
      </c>
      <c r="E4" s="830"/>
      <c r="F4" s="830"/>
      <c r="G4" s="830"/>
      <c r="H4" s="830"/>
      <c r="I4" s="830"/>
      <c r="J4" s="830"/>
      <c r="K4" s="830"/>
      <c r="L4" s="830"/>
      <c r="M4" s="830"/>
      <c r="N4" s="822" t="s">
        <v>307</v>
      </c>
    </row>
    <row r="5" spans="1:14" ht="12" customHeight="1">
      <c r="A5" s="24"/>
      <c r="B5" s="827"/>
      <c r="C5" s="829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23"/>
    </row>
    <row r="6" spans="1:14" ht="12.75" customHeight="1">
      <c r="A6" s="24" t="s">
        <v>305</v>
      </c>
      <c r="B6" s="827"/>
      <c r="C6" s="829"/>
      <c r="D6" s="832">
        <v>2017</v>
      </c>
      <c r="E6" s="834">
        <v>2018</v>
      </c>
      <c r="F6" s="835"/>
      <c r="G6" s="836"/>
      <c r="H6" s="834">
        <v>2019</v>
      </c>
      <c r="I6" s="835"/>
      <c r="J6" s="836"/>
      <c r="K6" s="834">
        <v>2020</v>
      </c>
      <c r="L6" s="835"/>
      <c r="M6" s="836"/>
      <c r="N6" s="823"/>
    </row>
    <row r="7" spans="1:36" s="14" customFormat="1" ht="38.25" customHeight="1">
      <c r="A7" s="24"/>
      <c r="B7" s="827"/>
      <c r="C7" s="829"/>
      <c r="D7" s="833"/>
      <c r="E7" s="121" t="s">
        <v>310</v>
      </c>
      <c r="F7" s="122" t="s">
        <v>353</v>
      </c>
      <c r="G7" s="123" t="s">
        <v>309</v>
      </c>
      <c r="H7" s="175" t="s">
        <v>310</v>
      </c>
      <c r="I7" s="122" t="s">
        <v>353</v>
      </c>
      <c r="J7" s="179" t="s">
        <v>309</v>
      </c>
      <c r="K7" s="121" t="s">
        <v>310</v>
      </c>
      <c r="L7" s="122" t="s">
        <v>353</v>
      </c>
      <c r="M7" s="123" t="s">
        <v>309</v>
      </c>
      <c r="N7" s="824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</row>
    <row r="8" spans="1:14" s="124" customFormat="1" ht="12" customHeight="1">
      <c r="A8" s="297">
        <v>1</v>
      </c>
      <c r="B8" s="183">
        <f>1+A8</f>
        <v>2</v>
      </c>
      <c r="C8" s="183">
        <f>1+B8</f>
        <v>3</v>
      </c>
      <c r="D8" s="184">
        <f aca="true" t="shared" si="0" ref="D8:N8">1+C8</f>
        <v>4</v>
      </c>
      <c r="E8" s="185">
        <f t="shared" si="0"/>
        <v>5</v>
      </c>
      <c r="F8" s="186">
        <f t="shared" si="0"/>
        <v>6</v>
      </c>
      <c r="G8" s="187">
        <f t="shared" si="0"/>
        <v>7</v>
      </c>
      <c r="H8" s="188">
        <f t="shared" si="0"/>
        <v>8</v>
      </c>
      <c r="I8" s="186">
        <f t="shared" si="0"/>
        <v>9</v>
      </c>
      <c r="J8" s="189">
        <f t="shared" si="0"/>
        <v>10</v>
      </c>
      <c r="K8" s="185">
        <f t="shared" si="0"/>
        <v>11</v>
      </c>
      <c r="L8" s="186">
        <f t="shared" si="0"/>
        <v>12</v>
      </c>
      <c r="M8" s="187">
        <f t="shared" si="0"/>
        <v>13</v>
      </c>
      <c r="N8" s="298">
        <f t="shared" si="0"/>
        <v>14</v>
      </c>
    </row>
    <row r="9" spans="1:14" s="124" customFormat="1" ht="12" customHeight="1">
      <c r="A9" s="839" t="s">
        <v>423</v>
      </c>
      <c r="B9" s="840"/>
      <c r="C9" s="197"/>
      <c r="D9" s="197"/>
      <c r="E9" s="198"/>
      <c r="F9" s="199"/>
      <c r="G9" s="200"/>
      <c r="H9" s="198"/>
      <c r="I9" s="199"/>
      <c r="J9" s="201"/>
      <c r="K9" s="198"/>
      <c r="L9" s="199"/>
      <c r="M9" s="200"/>
      <c r="N9" s="299"/>
    </row>
    <row r="10" spans="1:14" s="82" customFormat="1" ht="14.25" customHeight="1">
      <c r="A10" s="300" t="s">
        <v>3</v>
      </c>
      <c r="B10" s="236"/>
      <c r="C10" s="237"/>
      <c r="D10" s="238"/>
      <c r="E10" s="88"/>
      <c r="F10" s="89"/>
      <c r="G10" s="239"/>
      <c r="H10" s="88"/>
      <c r="I10" s="89"/>
      <c r="J10" s="240"/>
      <c r="K10" s="88"/>
      <c r="L10" s="89"/>
      <c r="M10" s="239"/>
      <c r="N10" s="91"/>
    </row>
    <row r="11" spans="1:14" ht="12">
      <c r="A11" s="73">
        <v>1</v>
      </c>
      <c r="B11" s="196" t="s">
        <v>4</v>
      </c>
      <c r="C11" s="217"/>
      <c r="D11" s="163"/>
      <c r="E11" s="164"/>
      <c r="F11" s="165">
        <v>1</v>
      </c>
      <c r="G11" s="142">
        <f>ROUNDDOWN(E11*F11,0)</f>
        <v>0</v>
      </c>
      <c r="H11" s="164">
        <f>G11</f>
        <v>0</v>
      </c>
      <c r="I11" s="165">
        <v>1</v>
      </c>
      <c r="J11" s="142">
        <f>ROUNDDOWN(H11*I11,0)</f>
        <v>0</v>
      </c>
      <c r="K11" s="164">
        <f>J11</f>
        <v>0</v>
      </c>
      <c r="L11" s="165">
        <v>1</v>
      </c>
      <c r="M11" s="142">
        <f>ROUNDDOWN(K11*L11,0)</f>
        <v>0</v>
      </c>
      <c r="N11" s="166"/>
    </row>
    <row r="12" spans="1:14" ht="48">
      <c r="A12" s="71">
        <v>2</v>
      </c>
      <c r="B12" s="75" t="s">
        <v>334</v>
      </c>
      <c r="C12" s="2" t="s">
        <v>130</v>
      </c>
      <c r="D12" s="25"/>
      <c r="E12" s="26"/>
      <c r="F12" s="64">
        <v>1</v>
      </c>
      <c r="G12" s="142">
        <f>ROUNDDOWN(E12*F12,0)</f>
        <v>0</v>
      </c>
      <c r="H12" s="5">
        <f>G12</f>
        <v>0</v>
      </c>
      <c r="I12" s="64">
        <v>1</v>
      </c>
      <c r="J12" s="142">
        <f>ROUNDDOWN(H12*I12,0)</f>
        <v>0</v>
      </c>
      <c r="K12" s="5">
        <f>J12</f>
        <v>0</v>
      </c>
      <c r="L12" s="64">
        <v>1</v>
      </c>
      <c r="M12" s="142">
        <f>ROUNDDOWN(K12*L12,0)</f>
        <v>0</v>
      </c>
      <c r="N12" s="53"/>
    </row>
    <row r="13" spans="1:14" ht="12">
      <c r="A13" s="47"/>
      <c r="B13" s="76" t="s">
        <v>333</v>
      </c>
      <c r="C13" s="68"/>
      <c r="D13" s="172">
        <f>ROUNDDOWN(SUM(D11:D12),2)</f>
        <v>0</v>
      </c>
      <c r="E13" s="45">
        <f>ROUNDDOWN(SUM(E11:E12),2)</f>
        <v>0</v>
      </c>
      <c r="F13" s="66"/>
      <c r="G13" s="46">
        <f>ROUNDDOWN(SUM(G11:G12),0)</f>
        <v>0</v>
      </c>
      <c r="H13" s="46">
        <f>ROUNDDOWN(SUM(H11:H12),2)</f>
        <v>0</v>
      </c>
      <c r="I13" s="66"/>
      <c r="J13" s="46">
        <f>ROUNDDOWN(SUM(J11:J12),0)</f>
        <v>0</v>
      </c>
      <c r="K13" s="172">
        <f>ROUNDDOWN(SUM(K11:K12),2)</f>
        <v>0</v>
      </c>
      <c r="L13" s="66"/>
      <c r="M13" s="46">
        <f>ROUNDDOWN(SUM(M11:M12),0)</f>
        <v>0</v>
      </c>
      <c r="N13" s="83"/>
    </row>
    <row r="14" spans="1:14" ht="12">
      <c r="A14" s="84" t="s">
        <v>359</v>
      </c>
      <c r="B14" s="241"/>
      <c r="C14" s="86"/>
      <c r="D14" s="242"/>
      <c r="E14" s="88"/>
      <c r="F14" s="89"/>
      <c r="G14" s="90"/>
      <c r="H14" s="88"/>
      <c r="I14" s="89"/>
      <c r="J14" s="90"/>
      <c r="K14" s="88"/>
      <c r="L14" s="89"/>
      <c r="M14" s="90"/>
      <c r="N14" s="91"/>
    </row>
    <row r="15" spans="1:14" ht="48.75" thickBot="1">
      <c r="A15" s="72">
        <v>1</v>
      </c>
      <c r="B15" s="137" t="s">
        <v>360</v>
      </c>
      <c r="C15" s="138" t="s">
        <v>400</v>
      </c>
      <c r="D15" s="139"/>
      <c r="E15" s="140"/>
      <c r="F15" s="141">
        <v>1</v>
      </c>
      <c r="G15" s="142">
        <f>ROUNDDOWN(E15*F15,0)</f>
        <v>0</v>
      </c>
      <c r="H15" s="140">
        <f>ROUND(H13*0.302,2)</f>
        <v>0</v>
      </c>
      <c r="I15" s="141">
        <v>1</v>
      </c>
      <c r="J15" s="142">
        <f>ROUNDDOWN(H15*I15,0)</f>
        <v>0</v>
      </c>
      <c r="K15" s="140">
        <f>ROUND(K13*0.302,2)</f>
        <v>0</v>
      </c>
      <c r="L15" s="141">
        <v>1</v>
      </c>
      <c r="M15" s="142">
        <f>ROUNDDOWN(K15*L15,0)</f>
        <v>0</v>
      </c>
      <c r="N15" s="143"/>
    </row>
    <row r="16" spans="1:14" ht="13.5" thickBot="1">
      <c r="A16" s="841" t="s">
        <v>424</v>
      </c>
      <c r="B16" s="842"/>
      <c r="C16" s="155"/>
      <c r="D16" s="173">
        <f>ROUNDDOWN((D15+D13),2)</f>
        <v>0</v>
      </c>
      <c r="E16" s="176">
        <f>ROUNDDOWN((E15+E13),2)</f>
        <v>0</v>
      </c>
      <c r="F16" s="157"/>
      <c r="G16" s="156">
        <f>ROUNDDOWN((G15+G13),0)</f>
        <v>0</v>
      </c>
      <c r="H16" s="176">
        <f>ROUNDDOWN((H15+H13),2)</f>
        <v>0</v>
      </c>
      <c r="I16" s="157"/>
      <c r="J16" s="156">
        <f>ROUNDDOWN((J15+J13),0)</f>
        <v>0</v>
      </c>
      <c r="K16" s="176">
        <f>ROUNDDOWN((K15+K13),2)</f>
        <v>0</v>
      </c>
      <c r="L16" s="157"/>
      <c r="M16" s="156">
        <f>ROUNDDOWN((M15+M13),0)</f>
        <v>0</v>
      </c>
      <c r="N16" s="158"/>
    </row>
    <row r="17" spans="1:14" ht="12.75">
      <c r="A17" s="843" t="s">
        <v>425</v>
      </c>
      <c r="B17" s="844"/>
      <c r="C17" s="249"/>
      <c r="D17" s="249"/>
      <c r="E17" s="250"/>
      <c r="F17" s="251"/>
      <c r="G17" s="252"/>
      <c r="H17" s="250"/>
      <c r="I17" s="251"/>
      <c r="J17" s="252"/>
      <c r="K17" s="250"/>
      <c r="L17" s="251"/>
      <c r="M17" s="252"/>
      <c r="N17" s="301"/>
    </row>
    <row r="18" spans="1:14" ht="12">
      <c r="A18" s="84" t="s">
        <v>5</v>
      </c>
      <c r="B18" s="85"/>
      <c r="C18" s="86"/>
      <c r="D18" s="87"/>
      <c r="E18" s="88"/>
      <c r="F18" s="89"/>
      <c r="G18" s="90"/>
      <c r="H18" s="88"/>
      <c r="I18" s="89"/>
      <c r="J18" s="90"/>
      <c r="K18" s="88"/>
      <c r="L18" s="89"/>
      <c r="M18" s="90"/>
      <c r="N18" s="91"/>
    </row>
    <row r="19" spans="1:14" ht="78.75">
      <c r="A19" s="72">
        <v>1</v>
      </c>
      <c r="B19" s="137" t="s">
        <v>6</v>
      </c>
      <c r="C19" s="162" t="s">
        <v>358</v>
      </c>
      <c r="D19" s="163"/>
      <c r="E19" s="164"/>
      <c r="F19" s="165">
        <v>1</v>
      </c>
      <c r="G19" s="142">
        <f>ROUNDDOWN(E19*F19,0)</f>
        <v>0</v>
      </c>
      <c r="H19" s="164">
        <f>G19</f>
        <v>0</v>
      </c>
      <c r="I19" s="165">
        <v>1</v>
      </c>
      <c r="J19" s="142">
        <f>ROUNDDOWN(H19*I19,0)</f>
        <v>0</v>
      </c>
      <c r="K19" s="164">
        <f>J19</f>
        <v>0</v>
      </c>
      <c r="L19" s="165">
        <v>1</v>
      </c>
      <c r="M19" s="142">
        <f>ROUNDDOWN(K19*L19,0)</f>
        <v>0</v>
      </c>
      <c r="N19" s="166"/>
    </row>
    <row r="20" spans="1:14" ht="48">
      <c r="A20" s="71">
        <v>2</v>
      </c>
      <c r="B20" s="75" t="s">
        <v>67</v>
      </c>
      <c r="C20" s="3" t="s">
        <v>267</v>
      </c>
      <c r="D20" s="6"/>
      <c r="E20" s="5"/>
      <c r="F20" s="63">
        <v>1</v>
      </c>
      <c r="G20" s="142">
        <f>ROUNDDOWN(E20*F20,0)</f>
        <v>0</v>
      </c>
      <c r="H20" s="5">
        <f>G20</f>
        <v>0</v>
      </c>
      <c r="I20" s="64">
        <v>1</v>
      </c>
      <c r="J20" s="142">
        <f>ROUNDDOWN(H20*I20,0)</f>
        <v>0</v>
      </c>
      <c r="K20" s="5">
        <f>J20</f>
        <v>0</v>
      </c>
      <c r="L20" s="63">
        <v>1</v>
      </c>
      <c r="M20" s="142">
        <f>ROUNDDOWN(K20*L20,0)</f>
        <v>0</v>
      </c>
      <c r="N20" s="52"/>
    </row>
    <row r="21" spans="1:14" ht="33.75">
      <c r="A21" s="50">
        <v>3</v>
      </c>
      <c r="B21" s="74" t="s">
        <v>7</v>
      </c>
      <c r="C21" s="3" t="s">
        <v>68</v>
      </c>
      <c r="D21" s="6"/>
      <c r="E21" s="5"/>
      <c r="F21" s="63">
        <v>1</v>
      </c>
      <c r="G21" s="142">
        <f>ROUNDDOWN(E21*F21,0)</f>
        <v>0</v>
      </c>
      <c r="H21" s="5">
        <f>G21</f>
        <v>0</v>
      </c>
      <c r="I21" s="64">
        <v>1</v>
      </c>
      <c r="J21" s="142">
        <f>ROUNDDOWN(H21*I21,0)</f>
        <v>0</v>
      </c>
      <c r="K21" s="5">
        <f>J21</f>
        <v>0</v>
      </c>
      <c r="L21" s="63">
        <v>1</v>
      </c>
      <c r="M21" s="142">
        <f>ROUNDDOWN(K21*L21,0)</f>
        <v>0</v>
      </c>
      <c r="N21" s="52"/>
    </row>
    <row r="22" spans="1:14" ht="24">
      <c r="A22" s="71">
        <v>4</v>
      </c>
      <c r="B22" s="75" t="s">
        <v>69</v>
      </c>
      <c r="C22" s="2" t="s">
        <v>70</v>
      </c>
      <c r="D22" s="27"/>
      <c r="E22" s="5">
        <v>2340</v>
      </c>
      <c r="F22" s="63">
        <v>1</v>
      </c>
      <c r="G22" s="142">
        <f>ROUNDDOWN(E22*F22,0)</f>
        <v>2340</v>
      </c>
      <c r="H22" s="5">
        <f>G22</f>
        <v>2340</v>
      </c>
      <c r="I22" s="64">
        <v>1</v>
      </c>
      <c r="J22" s="142">
        <f>ROUNDDOWN(H22*I22,0)</f>
        <v>2340</v>
      </c>
      <c r="K22" s="5">
        <f>J22</f>
        <v>2340</v>
      </c>
      <c r="L22" s="63">
        <v>1</v>
      </c>
      <c r="M22" s="142">
        <f>ROUNDDOWN(K22*L22,0)</f>
        <v>2340</v>
      </c>
      <c r="N22" s="54" t="s">
        <v>552</v>
      </c>
    </row>
    <row r="23" spans="1:36" s="10" customFormat="1" ht="12">
      <c r="A23" s="48"/>
      <c r="B23" s="76" t="s">
        <v>8</v>
      </c>
      <c r="C23" s="69"/>
      <c r="D23" s="15">
        <f>ROUNDDOWN(SUM(D19:D22),2)</f>
        <v>0</v>
      </c>
      <c r="E23" s="28">
        <f>ROUNDDOWN(SUM(E19:E22),2)</f>
        <v>2340</v>
      </c>
      <c r="F23" s="65"/>
      <c r="G23" s="29">
        <f>ROUNDDOWN(SUM(G19:G22),0)</f>
        <v>2340</v>
      </c>
      <c r="H23" s="29">
        <f>ROUNDDOWN(SUM(H19:H22),2)</f>
        <v>2340</v>
      </c>
      <c r="I23" s="29"/>
      <c r="J23" s="29">
        <f>ROUNDDOWN(SUM(J19:J22),0)</f>
        <v>2340</v>
      </c>
      <c r="K23" s="29">
        <f>ROUNDDOWN(SUM(K19:K22),2)</f>
        <v>2340</v>
      </c>
      <c r="L23" s="29"/>
      <c r="M23" s="29">
        <f>ROUNDDOWN(SUM(M19:M22),0)</f>
        <v>2340</v>
      </c>
      <c r="N23" s="56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</row>
    <row r="24" spans="1:14" ht="12">
      <c r="A24" s="144" t="s">
        <v>31</v>
      </c>
      <c r="B24" s="145"/>
      <c r="C24" s="146"/>
      <c r="D24" s="147"/>
      <c r="E24" s="148"/>
      <c r="F24" s="149"/>
      <c r="G24" s="150"/>
      <c r="H24" s="148"/>
      <c r="I24" s="149"/>
      <c r="J24" s="150"/>
      <c r="K24" s="148"/>
      <c r="L24" s="149"/>
      <c r="M24" s="150"/>
      <c r="N24" s="151"/>
    </row>
    <row r="25" spans="1:14" ht="45">
      <c r="A25" s="50">
        <v>1</v>
      </c>
      <c r="B25" s="74" t="s">
        <v>32</v>
      </c>
      <c r="C25" s="3" t="s">
        <v>285</v>
      </c>
      <c r="D25" s="6"/>
      <c r="E25" s="5"/>
      <c r="F25" s="63">
        <v>1</v>
      </c>
      <c r="G25" s="142">
        <f>ROUND(E25*F25,0)</f>
        <v>0</v>
      </c>
      <c r="H25" s="5">
        <f>G25</f>
        <v>0</v>
      </c>
      <c r="I25" s="63">
        <v>1</v>
      </c>
      <c r="J25" s="142">
        <f>ROUND(H25*I25,0)</f>
        <v>0</v>
      </c>
      <c r="K25" s="5">
        <f>J25</f>
        <v>0</v>
      </c>
      <c r="L25" s="63">
        <v>1</v>
      </c>
      <c r="M25" s="142">
        <f>ROUND(K25*L25,0)</f>
        <v>0</v>
      </c>
      <c r="N25" s="52"/>
    </row>
    <row r="26" spans="1:36" s="10" customFormat="1" ht="12">
      <c r="A26" s="245"/>
      <c r="B26" s="246" t="s">
        <v>145</v>
      </c>
      <c r="C26" s="247"/>
      <c r="D26" s="227">
        <f>ROUNDDOWN(D25,2)</f>
        <v>0</v>
      </c>
      <c r="E26" s="227">
        <f>ROUNDDOWN(E25,2)</f>
        <v>0</v>
      </c>
      <c r="F26" s="227"/>
      <c r="G26" s="227">
        <f>ROUNDDOWN(G25,0)</f>
        <v>0</v>
      </c>
      <c r="H26" s="227">
        <f>ROUNDDOWN(H25,2)</f>
        <v>0</v>
      </c>
      <c r="I26" s="227"/>
      <c r="J26" s="227">
        <f>ROUNDDOWN(J25,0)</f>
        <v>0</v>
      </c>
      <c r="K26" s="227">
        <f>ROUNDDOWN(K25,2)</f>
        <v>0</v>
      </c>
      <c r="L26" s="227"/>
      <c r="M26" s="227">
        <f>ROUNDDOWN(M25,0)</f>
        <v>0</v>
      </c>
      <c r="N26" s="248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</row>
    <row r="27" spans="1:14" ht="12">
      <c r="A27" s="84" t="s">
        <v>384</v>
      </c>
      <c r="B27" s="85"/>
      <c r="C27" s="86"/>
      <c r="D27" s="87"/>
      <c r="E27" s="88"/>
      <c r="F27" s="89"/>
      <c r="G27" s="90"/>
      <c r="H27" s="88"/>
      <c r="I27" s="89"/>
      <c r="J27" s="90"/>
      <c r="K27" s="88"/>
      <c r="L27" s="89"/>
      <c r="M27" s="90"/>
      <c r="N27" s="91"/>
    </row>
    <row r="28" spans="1:14" ht="24">
      <c r="A28" s="72">
        <v>1</v>
      </c>
      <c r="B28" s="137" t="s">
        <v>86</v>
      </c>
      <c r="C28" s="162" t="s">
        <v>243</v>
      </c>
      <c r="D28" s="163"/>
      <c r="E28" s="164"/>
      <c r="F28" s="165">
        <v>1</v>
      </c>
      <c r="G28" s="142">
        <f>ROUND(E28*F28,0)</f>
        <v>0</v>
      </c>
      <c r="H28" s="164">
        <f>G28</f>
        <v>0</v>
      </c>
      <c r="I28" s="141">
        <v>1</v>
      </c>
      <c r="J28" s="142">
        <f>ROUND(H28*I28,0)</f>
        <v>0</v>
      </c>
      <c r="K28" s="164">
        <f>J28</f>
        <v>0</v>
      </c>
      <c r="L28" s="165">
        <v>1</v>
      </c>
      <c r="M28" s="142">
        <f>ROUND(K28*L28,0)</f>
        <v>0</v>
      </c>
      <c r="N28" s="166"/>
    </row>
    <row r="29" spans="1:36" s="10" customFormat="1" ht="12.75" thickBot="1">
      <c r="A29" s="134"/>
      <c r="B29" s="135" t="s">
        <v>150</v>
      </c>
      <c r="C29" s="170"/>
      <c r="D29" s="67">
        <f>ROUNDDOWN(D28,2)</f>
        <v>0</v>
      </c>
      <c r="E29" s="67">
        <f>ROUNDDOWN(E28,2)</f>
        <v>0</v>
      </c>
      <c r="F29" s="67"/>
      <c r="G29" s="67">
        <f>ROUNDDOWN(G28,0)</f>
        <v>0</v>
      </c>
      <c r="H29" s="67">
        <f>ROUNDDOWN(H28,2)</f>
        <v>0</v>
      </c>
      <c r="I29" s="67"/>
      <c r="J29" s="67">
        <f>ROUNDDOWN(J28,0)</f>
        <v>0</v>
      </c>
      <c r="K29" s="67">
        <f>ROUNDDOWN(K28,2)</f>
        <v>0</v>
      </c>
      <c r="L29" s="67"/>
      <c r="M29" s="67">
        <f>ROUNDDOWN(M28,0)</f>
        <v>0</v>
      </c>
      <c r="N29" s="60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</row>
    <row r="30" spans="1:14" ht="13.5" thickBot="1">
      <c r="A30" s="841" t="s">
        <v>426</v>
      </c>
      <c r="B30" s="842"/>
      <c r="C30" s="155"/>
      <c r="D30" s="173">
        <f>D29+D26+D23</f>
        <v>0</v>
      </c>
      <c r="E30" s="176">
        <f>E29+E26+E23</f>
        <v>2340</v>
      </c>
      <c r="F30" s="157"/>
      <c r="G30" s="156">
        <f>G29+G26+G23</f>
        <v>2340</v>
      </c>
      <c r="H30" s="176">
        <f>H29+H26+H23</f>
        <v>2340</v>
      </c>
      <c r="I30" s="157"/>
      <c r="J30" s="156">
        <f>J29+J26+J23</f>
        <v>2340</v>
      </c>
      <c r="K30" s="176">
        <f>K29+K26+K23</f>
        <v>2340</v>
      </c>
      <c r="L30" s="157"/>
      <c r="M30" s="156">
        <f>M29+M26+M23</f>
        <v>2340</v>
      </c>
      <c r="N30" s="158"/>
    </row>
    <row r="31" spans="1:14" ht="12.75">
      <c r="A31" s="843" t="s">
        <v>427</v>
      </c>
      <c r="B31" s="844"/>
      <c r="C31" s="253"/>
      <c r="D31" s="254"/>
      <c r="E31" s="255"/>
      <c r="F31" s="256"/>
      <c r="G31" s="257"/>
      <c r="H31" s="255"/>
      <c r="I31" s="256"/>
      <c r="J31" s="257"/>
      <c r="K31" s="255"/>
      <c r="L31" s="256"/>
      <c r="M31" s="257"/>
      <c r="N31" s="258"/>
    </row>
    <row r="32" spans="1:14" ht="12">
      <c r="A32" s="84" t="s">
        <v>9</v>
      </c>
      <c r="B32" s="85"/>
      <c r="C32" s="86"/>
      <c r="D32" s="87"/>
      <c r="E32" s="88"/>
      <c r="F32" s="89"/>
      <c r="G32" s="90"/>
      <c r="H32" s="88"/>
      <c r="I32" s="89"/>
      <c r="J32" s="90"/>
      <c r="K32" s="88"/>
      <c r="L32" s="89"/>
      <c r="M32" s="90"/>
      <c r="N32" s="91"/>
    </row>
    <row r="33" spans="1:14" ht="12">
      <c r="A33" s="72">
        <v>1</v>
      </c>
      <c r="B33" s="77" t="s">
        <v>10</v>
      </c>
      <c r="C33" s="30"/>
      <c r="D33" s="218"/>
      <c r="E33" s="219"/>
      <c r="F33" s="220"/>
      <c r="G33" s="221"/>
      <c r="H33" s="219"/>
      <c r="I33" s="220"/>
      <c r="J33" s="221"/>
      <c r="K33" s="219"/>
      <c r="L33" s="220"/>
      <c r="M33" s="221"/>
      <c r="N33" s="222"/>
    </row>
    <row r="34" spans="1:14" ht="22.5">
      <c r="A34" s="72"/>
      <c r="B34" s="74" t="s">
        <v>12</v>
      </c>
      <c r="C34" s="3" t="s">
        <v>19</v>
      </c>
      <c r="D34" s="6"/>
      <c r="E34" s="5"/>
      <c r="F34" s="63">
        <v>1</v>
      </c>
      <c r="G34" s="142">
        <f>ROUND(E34*F34,0)</f>
        <v>0</v>
      </c>
      <c r="H34" s="5">
        <f>G34</f>
        <v>0</v>
      </c>
      <c r="I34" s="64">
        <v>1</v>
      </c>
      <c r="J34" s="142">
        <f>ROUND(H34*I34,0)</f>
        <v>0</v>
      </c>
      <c r="K34" s="5">
        <f>J34</f>
        <v>0</v>
      </c>
      <c r="L34" s="63">
        <v>1</v>
      </c>
      <c r="M34" s="142">
        <f>ROUND(K34*L34,0)</f>
        <v>0</v>
      </c>
      <c r="N34" s="52"/>
    </row>
    <row r="35" spans="1:14" ht="22.5">
      <c r="A35" s="72"/>
      <c r="B35" s="74" t="s">
        <v>13</v>
      </c>
      <c r="C35" s="3" t="s">
        <v>20</v>
      </c>
      <c r="D35" s="6"/>
      <c r="E35" s="5"/>
      <c r="F35" s="63">
        <v>1</v>
      </c>
      <c r="G35" s="142">
        <f aca="true" t="shared" si="1" ref="G35:G53">ROUND(E35*F35,0)</f>
        <v>0</v>
      </c>
      <c r="H35" s="5">
        <f aca="true" t="shared" si="2" ref="H35:H53">G35</f>
        <v>0</v>
      </c>
      <c r="I35" s="64">
        <v>1</v>
      </c>
      <c r="J35" s="142">
        <f aca="true" t="shared" si="3" ref="J35:J53">ROUND(H35*I35,0)</f>
        <v>0</v>
      </c>
      <c r="K35" s="5">
        <f aca="true" t="shared" si="4" ref="K35:K53">J35</f>
        <v>0</v>
      </c>
      <c r="L35" s="63">
        <v>1</v>
      </c>
      <c r="M35" s="142">
        <f aca="true" t="shared" si="5" ref="M35:M53">ROUND(K35*L35,0)</f>
        <v>0</v>
      </c>
      <c r="N35" s="52"/>
    </row>
    <row r="36" spans="1:14" ht="22.5">
      <c r="A36" s="72"/>
      <c r="B36" s="74" t="s">
        <v>14</v>
      </c>
      <c r="C36" s="3" t="s">
        <v>20</v>
      </c>
      <c r="D36" s="6"/>
      <c r="E36" s="5"/>
      <c r="F36" s="63">
        <v>1</v>
      </c>
      <c r="G36" s="142">
        <f t="shared" si="1"/>
        <v>0</v>
      </c>
      <c r="H36" s="5">
        <f t="shared" si="2"/>
        <v>0</v>
      </c>
      <c r="I36" s="64">
        <v>1</v>
      </c>
      <c r="J36" s="142">
        <f t="shared" si="3"/>
        <v>0</v>
      </c>
      <c r="K36" s="5">
        <f t="shared" si="4"/>
        <v>0</v>
      </c>
      <c r="L36" s="63">
        <v>1</v>
      </c>
      <c r="M36" s="142">
        <f t="shared" si="5"/>
        <v>0</v>
      </c>
      <c r="N36" s="52"/>
    </row>
    <row r="37" spans="1:14" ht="22.5">
      <c r="A37" s="72"/>
      <c r="B37" s="74" t="s">
        <v>15</v>
      </c>
      <c r="C37" s="3" t="s">
        <v>20</v>
      </c>
      <c r="D37" s="6"/>
      <c r="E37" s="5"/>
      <c r="F37" s="63">
        <v>1</v>
      </c>
      <c r="G37" s="142">
        <f t="shared" si="1"/>
        <v>0</v>
      </c>
      <c r="H37" s="5">
        <f t="shared" si="2"/>
        <v>0</v>
      </c>
      <c r="I37" s="64">
        <v>1</v>
      </c>
      <c r="J37" s="142">
        <f t="shared" si="3"/>
        <v>0</v>
      </c>
      <c r="K37" s="5">
        <f t="shared" si="4"/>
        <v>0</v>
      </c>
      <c r="L37" s="63">
        <v>1</v>
      </c>
      <c r="M37" s="142">
        <f t="shared" si="5"/>
        <v>0</v>
      </c>
      <c r="N37" s="52"/>
    </row>
    <row r="38" spans="1:14" ht="24">
      <c r="A38" s="72"/>
      <c r="B38" s="74" t="s">
        <v>16</v>
      </c>
      <c r="C38" s="3" t="s">
        <v>20</v>
      </c>
      <c r="D38" s="6"/>
      <c r="E38" s="5"/>
      <c r="F38" s="63">
        <v>1</v>
      </c>
      <c r="G38" s="142">
        <f t="shared" si="1"/>
        <v>0</v>
      </c>
      <c r="H38" s="5">
        <f t="shared" si="2"/>
        <v>0</v>
      </c>
      <c r="I38" s="64">
        <v>1</v>
      </c>
      <c r="J38" s="142">
        <f t="shared" si="3"/>
        <v>0</v>
      </c>
      <c r="K38" s="5">
        <f t="shared" si="4"/>
        <v>0</v>
      </c>
      <c r="L38" s="63">
        <v>1</v>
      </c>
      <c r="M38" s="142">
        <f t="shared" si="5"/>
        <v>0</v>
      </c>
      <c r="N38" s="52"/>
    </row>
    <row r="39" spans="1:14" ht="22.5">
      <c r="A39" s="73"/>
      <c r="B39" s="74" t="s">
        <v>17</v>
      </c>
      <c r="C39" s="3" t="s">
        <v>20</v>
      </c>
      <c r="D39" s="6"/>
      <c r="E39" s="5"/>
      <c r="F39" s="63">
        <v>1</v>
      </c>
      <c r="G39" s="142">
        <f t="shared" si="1"/>
        <v>0</v>
      </c>
      <c r="H39" s="5">
        <f t="shared" si="2"/>
        <v>0</v>
      </c>
      <c r="I39" s="64">
        <v>1</v>
      </c>
      <c r="J39" s="142">
        <f t="shared" si="3"/>
        <v>0</v>
      </c>
      <c r="K39" s="5">
        <f t="shared" si="4"/>
        <v>0</v>
      </c>
      <c r="L39" s="63">
        <v>1</v>
      </c>
      <c r="M39" s="142">
        <f t="shared" si="5"/>
        <v>0</v>
      </c>
      <c r="N39" s="52"/>
    </row>
    <row r="40" spans="1:14" ht="22.5">
      <c r="A40" s="50">
        <v>2</v>
      </c>
      <c r="B40" s="74" t="s">
        <v>11</v>
      </c>
      <c r="C40" s="3" t="s">
        <v>284</v>
      </c>
      <c r="D40" s="6"/>
      <c r="E40" s="5"/>
      <c r="F40" s="63">
        <v>1</v>
      </c>
      <c r="G40" s="142">
        <f t="shared" si="1"/>
        <v>0</v>
      </c>
      <c r="H40" s="5">
        <f t="shared" si="2"/>
        <v>0</v>
      </c>
      <c r="I40" s="64">
        <v>1</v>
      </c>
      <c r="J40" s="142">
        <f t="shared" si="3"/>
        <v>0</v>
      </c>
      <c r="K40" s="5">
        <f t="shared" si="4"/>
        <v>0</v>
      </c>
      <c r="L40" s="63">
        <v>1</v>
      </c>
      <c r="M40" s="142">
        <f t="shared" si="5"/>
        <v>0</v>
      </c>
      <c r="N40" s="52"/>
    </row>
    <row r="41" spans="1:14" ht="22.5">
      <c r="A41" s="50">
        <f>1+A40</f>
        <v>3</v>
      </c>
      <c r="B41" s="74" t="s">
        <v>289</v>
      </c>
      <c r="C41" s="3" t="s">
        <v>20</v>
      </c>
      <c r="D41" s="6"/>
      <c r="E41" s="5"/>
      <c r="F41" s="63">
        <v>1</v>
      </c>
      <c r="G41" s="142">
        <f t="shared" si="1"/>
        <v>0</v>
      </c>
      <c r="H41" s="5">
        <f t="shared" si="2"/>
        <v>0</v>
      </c>
      <c r="I41" s="64">
        <v>1</v>
      </c>
      <c r="J41" s="142">
        <f t="shared" si="3"/>
        <v>0</v>
      </c>
      <c r="K41" s="5">
        <f t="shared" si="4"/>
        <v>0</v>
      </c>
      <c r="L41" s="63">
        <v>1</v>
      </c>
      <c r="M41" s="142">
        <f t="shared" si="5"/>
        <v>0</v>
      </c>
      <c r="N41" s="52"/>
    </row>
    <row r="42" spans="1:14" ht="24">
      <c r="A42" s="50">
        <f aca="true" t="shared" si="6" ref="A42:A53">1+A41</f>
        <v>4</v>
      </c>
      <c r="B42" s="74" t="s">
        <v>361</v>
      </c>
      <c r="C42" s="3" t="s">
        <v>18</v>
      </c>
      <c r="D42" s="6"/>
      <c r="E42" s="5"/>
      <c r="F42" s="63">
        <v>1</v>
      </c>
      <c r="G42" s="142">
        <f t="shared" si="1"/>
        <v>0</v>
      </c>
      <c r="H42" s="5">
        <f t="shared" si="2"/>
        <v>0</v>
      </c>
      <c r="I42" s="64">
        <v>1</v>
      </c>
      <c r="J42" s="142">
        <f t="shared" si="3"/>
        <v>0</v>
      </c>
      <c r="K42" s="5">
        <f t="shared" si="4"/>
        <v>0</v>
      </c>
      <c r="L42" s="63">
        <v>1</v>
      </c>
      <c r="M42" s="142">
        <f t="shared" si="5"/>
        <v>0</v>
      </c>
      <c r="N42" s="52"/>
    </row>
    <row r="43" spans="1:14" ht="24">
      <c r="A43" s="50">
        <f t="shared" si="6"/>
        <v>5</v>
      </c>
      <c r="B43" s="74" t="s">
        <v>356</v>
      </c>
      <c r="C43" s="3" t="s">
        <v>355</v>
      </c>
      <c r="D43" s="6"/>
      <c r="E43" s="5"/>
      <c r="F43" s="63">
        <v>1</v>
      </c>
      <c r="G43" s="142">
        <f t="shared" si="1"/>
        <v>0</v>
      </c>
      <c r="H43" s="5">
        <f t="shared" si="2"/>
        <v>0</v>
      </c>
      <c r="I43" s="64">
        <v>1</v>
      </c>
      <c r="J43" s="142">
        <f t="shared" si="3"/>
        <v>0</v>
      </c>
      <c r="K43" s="5">
        <f t="shared" si="4"/>
        <v>0</v>
      </c>
      <c r="L43" s="63">
        <v>1</v>
      </c>
      <c r="M43" s="142">
        <f t="shared" si="5"/>
        <v>0</v>
      </c>
      <c r="N43" s="52"/>
    </row>
    <row r="44" spans="1:14" ht="12">
      <c r="A44" s="50">
        <f t="shared" si="6"/>
        <v>6</v>
      </c>
      <c r="B44" s="74" t="s">
        <v>21</v>
      </c>
      <c r="C44" s="3" t="s">
        <v>22</v>
      </c>
      <c r="D44" s="6"/>
      <c r="E44" s="5"/>
      <c r="F44" s="63">
        <v>1</v>
      </c>
      <c r="G44" s="142">
        <f t="shared" si="1"/>
        <v>0</v>
      </c>
      <c r="H44" s="5">
        <f t="shared" si="2"/>
        <v>0</v>
      </c>
      <c r="I44" s="64">
        <v>1</v>
      </c>
      <c r="J44" s="142">
        <f t="shared" si="3"/>
        <v>0</v>
      </c>
      <c r="K44" s="5">
        <f t="shared" si="4"/>
        <v>0</v>
      </c>
      <c r="L44" s="63">
        <v>1</v>
      </c>
      <c r="M44" s="142">
        <f t="shared" si="5"/>
        <v>0</v>
      </c>
      <c r="N44" s="52"/>
    </row>
    <row r="45" spans="1:14" ht="12">
      <c r="A45" s="50">
        <f t="shared" si="6"/>
        <v>7</v>
      </c>
      <c r="B45" s="74" t="s">
        <v>23</v>
      </c>
      <c r="C45" s="3" t="s">
        <v>22</v>
      </c>
      <c r="D45" s="6"/>
      <c r="E45" s="5"/>
      <c r="F45" s="63">
        <v>1</v>
      </c>
      <c r="G45" s="142">
        <f t="shared" si="1"/>
        <v>0</v>
      </c>
      <c r="H45" s="5">
        <f t="shared" si="2"/>
        <v>0</v>
      </c>
      <c r="I45" s="64">
        <v>1</v>
      </c>
      <c r="J45" s="142">
        <f t="shared" si="3"/>
        <v>0</v>
      </c>
      <c r="K45" s="5">
        <f t="shared" si="4"/>
        <v>0</v>
      </c>
      <c r="L45" s="63">
        <v>1</v>
      </c>
      <c r="M45" s="142">
        <f t="shared" si="5"/>
        <v>0</v>
      </c>
      <c r="N45" s="52"/>
    </row>
    <row r="46" spans="1:14" ht="24">
      <c r="A46" s="50">
        <f t="shared" si="6"/>
        <v>8</v>
      </c>
      <c r="B46" s="74" t="s">
        <v>24</v>
      </c>
      <c r="C46" s="3" t="s">
        <v>22</v>
      </c>
      <c r="D46" s="6"/>
      <c r="E46" s="5"/>
      <c r="F46" s="63">
        <v>1</v>
      </c>
      <c r="G46" s="142">
        <f t="shared" si="1"/>
        <v>0</v>
      </c>
      <c r="H46" s="5">
        <f t="shared" si="2"/>
        <v>0</v>
      </c>
      <c r="I46" s="64">
        <v>1</v>
      </c>
      <c r="J46" s="142">
        <f t="shared" si="3"/>
        <v>0</v>
      </c>
      <c r="K46" s="5">
        <f t="shared" si="4"/>
        <v>0</v>
      </c>
      <c r="L46" s="63">
        <v>1</v>
      </c>
      <c r="M46" s="142">
        <f t="shared" si="5"/>
        <v>0</v>
      </c>
      <c r="N46" s="52"/>
    </row>
    <row r="47" spans="1:14" ht="22.5">
      <c r="A47" s="50">
        <f t="shared" si="6"/>
        <v>9</v>
      </c>
      <c r="B47" s="74" t="s">
        <v>369</v>
      </c>
      <c r="C47" s="3" t="s">
        <v>25</v>
      </c>
      <c r="D47" s="6"/>
      <c r="E47" s="5"/>
      <c r="F47" s="63">
        <v>1</v>
      </c>
      <c r="G47" s="142">
        <f t="shared" si="1"/>
        <v>0</v>
      </c>
      <c r="H47" s="5">
        <f t="shared" si="2"/>
        <v>0</v>
      </c>
      <c r="I47" s="64">
        <v>1</v>
      </c>
      <c r="J47" s="142">
        <f t="shared" si="3"/>
        <v>0</v>
      </c>
      <c r="K47" s="5">
        <f t="shared" si="4"/>
        <v>0</v>
      </c>
      <c r="L47" s="63">
        <v>1</v>
      </c>
      <c r="M47" s="142">
        <f t="shared" si="5"/>
        <v>0</v>
      </c>
      <c r="N47" s="52"/>
    </row>
    <row r="48" spans="1:14" ht="22.5">
      <c r="A48" s="50">
        <f t="shared" si="6"/>
        <v>10</v>
      </c>
      <c r="B48" s="74" t="s">
        <v>28</v>
      </c>
      <c r="C48" s="3" t="s">
        <v>29</v>
      </c>
      <c r="D48" s="6"/>
      <c r="E48" s="5"/>
      <c r="F48" s="63">
        <v>1</v>
      </c>
      <c r="G48" s="142">
        <f t="shared" si="1"/>
        <v>0</v>
      </c>
      <c r="H48" s="5">
        <f t="shared" si="2"/>
        <v>0</v>
      </c>
      <c r="I48" s="64">
        <v>1</v>
      </c>
      <c r="J48" s="142">
        <f t="shared" si="3"/>
        <v>0</v>
      </c>
      <c r="K48" s="5">
        <f t="shared" si="4"/>
        <v>0</v>
      </c>
      <c r="L48" s="63">
        <v>1</v>
      </c>
      <c r="M48" s="142">
        <f t="shared" si="5"/>
        <v>0</v>
      </c>
      <c r="N48" s="52"/>
    </row>
    <row r="49" spans="1:14" ht="24">
      <c r="A49" s="50">
        <f t="shared" si="6"/>
        <v>11</v>
      </c>
      <c r="B49" s="74" t="s">
        <v>354</v>
      </c>
      <c r="C49" s="3" t="s">
        <v>29</v>
      </c>
      <c r="D49" s="6"/>
      <c r="E49" s="5"/>
      <c r="F49" s="63">
        <v>1</v>
      </c>
      <c r="G49" s="142">
        <f t="shared" si="1"/>
        <v>0</v>
      </c>
      <c r="H49" s="5">
        <f t="shared" si="2"/>
        <v>0</v>
      </c>
      <c r="I49" s="64">
        <v>1</v>
      </c>
      <c r="J49" s="142">
        <f t="shared" si="3"/>
        <v>0</v>
      </c>
      <c r="K49" s="5">
        <f t="shared" si="4"/>
        <v>0</v>
      </c>
      <c r="L49" s="63">
        <v>1</v>
      </c>
      <c r="M49" s="142">
        <f t="shared" si="5"/>
        <v>0</v>
      </c>
      <c r="N49" s="52"/>
    </row>
    <row r="50" spans="1:14" ht="24">
      <c r="A50" s="50">
        <f t="shared" si="6"/>
        <v>12</v>
      </c>
      <c r="B50" s="74" t="s">
        <v>30</v>
      </c>
      <c r="C50" s="3" t="s">
        <v>243</v>
      </c>
      <c r="D50" s="6"/>
      <c r="E50" s="5"/>
      <c r="F50" s="63">
        <v>1</v>
      </c>
      <c r="G50" s="142">
        <f t="shared" si="1"/>
        <v>0</v>
      </c>
      <c r="H50" s="5">
        <f t="shared" si="2"/>
        <v>0</v>
      </c>
      <c r="I50" s="64">
        <v>1</v>
      </c>
      <c r="J50" s="142">
        <f t="shared" si="3"/>
        <v>0</v>
      </c>
      <c r="K50" s="5">
        <f t="shared" si="4"/>
        <v>0</v>
      </c>
      <c r="L50" s="63">
        <v>1</v>
      </c>
      <c r="M50" s="142">
        <f t="shared" si="5"/>
        <v>0</v>
      </c>
      <c r="N50" s="52"/>
    </row>
    <row r="51" spans="1:14" ht="24">
      <c r="A51" s="50">
        <f t="shared" si="6"/>
        <v>13</v>
      </c>
      <c r="B51" s="75" t="s">
        <v>362</v>
      </c>
      <c r="C51" s="3" t="s">
        <v>317</v>
      </c>
      <c r="D51" s="6"/>
      <c r="E51" s="5"/>
      <c r="F51" s="63">
        <v>1</v>
      </c>
      <c r="G51" s="142">
        <f t="shared" si="1"/>
        <v>0</v>
      </c>
      <c r="H51" s="5">
        <f t="shared" si="2"/>
        <v>0</v>
      </c>
      <c r="I51" s="64">
        <v>1</v>
      </c>
      <c r="J51" s="142">
        <f t="shared" si="3"/>
        <v>0</v>
      </c>
      <c r="K51" s="5">
        <f t="shared" si="4"/>
        <v>0</v>
      </c>
      <c r="L51" s="63">
        <v>1</v>
      </c>
      <c r="M51" s="142">
        <f t="shared" si="5"/>
        <v>0</v>
      </c>
      <c r="N51" s="52"/>
    </row>
    <row r="52" spans="1:14" ht="24">
      <c r="A52" s="50">
        <f t="shared" si="6"/>
        <v>14</v>
      </c>
      <c r="B52" s="75" t="s">
        <v>363</v>
      </c>
      <c r="C52" s="3" t="s">
        <v>317</v>
      </c>
      <c r="D52" s="6"/>
      <c r="E52" s="5"/>
      <c r="F52" s="63">
        <v>1</v>
      </c>
      <c r="G52" s="142">
        <f t="shared" si="1"/>
        <v>0</v>
      </c>
      <c r="H52" s="5">
        <f t="shared" si="2"/>
        <v>0</v>
      </c>
      <c r="I52" s="64">
        <v>1</v>
      </c>
      <c r="J52" s="142">
        <f t="shared" si="3"/>
        <v>0</v>
      </c>
      <c r="K52" s="5">
        <f t="shared" si="4"/>
        <v>0</v>
      </c>
      <c r="L52" s="63">
        <v>1</v>
      </c>
      <c r="M52" s="142">
        <f t="shared" si="5"/>
        <v>0</v>
      </c>
      <c r="N52" s="52"/>
    </row>
    <row r="53" spans="1:14" ht="45">
      <c r="A53" s="50">
        <f t="shared" si="6"/>
        <v>15</v>
      </c>
      <c r="B53" s="75" t="s">
        <v>248</v>
      </c>
      <c r="C53" s="2" t="s">
        <v>335</v>
      </c>
      <c r="D53" s="27"/>
      <c r="E53" s="5"/>
      <c r="F53" s="63">
        <v>1</v>
      </c>
      <c r="G53" s="142">
        <f t="shared" si="1"/>
        <v>0</v>
      </c>
      <c r="H53" s="5">
        <f t="shared" si="2"/>
        <v>0</v>
      </c>
      <c r="I53" s="64">
        <v>1</v>
      </c>
      <c r="J53" s="142">
        <f t="shared" si="3"/>
        <v>0</v>
      </c>
      <c r="K53" s="5">
        <f t="shared" si="4"/>
        <v>0</v>
      </c>
      <c r="L53" s="63">
        <v>1</v>
      </c>
      <c r="M53" s="142">
        <f t="shared" si="5"/>
        <v>0</v>
      </c>
      <c r="N53" s="54"/>
    </row>
    <row r="54" spans="1:36" s="10" customFormat="1" ht="12">
      <c r="A54" s="33"/>
      <c r="B54" s="79" t="s">
        <v>144</v>
      </c>
      <c r="C54" s="69"/>
      <c r="D54" s="15">
        <f>ROUNDDOWN(SUM(D34:D53),2)</f>
        <v>0</v>
      </c>
      <c r="E54" s="15">
        <f>ROUNDDOWN(SUM(E34:E53),2)</f>
        <v>0</v>
      </c>
      <c r="F54" s="15"/>
      <c r="G54" s="15">
        <f>ROUNDDOWN(SUM(G34:G53),0)</f>
        <v>0</v>
      </c>
      <c r="H54" s="15">
        <f>ROUNDDOWN(SUM(H34:H53),2)</f>
        <v>0</v>
      </c>
      <c r="I54" s="15"/>
      <c r="J54" s="15">
        <f>ROUNDDOWN(SUM(J34:J53),0)</f>
        <v>0</v>
      </c>
      <c r="K54" s="15">
        <f>ROUNDDOWN(SUM(K34:K53),2)</f>
        <v>0</v>
      </c>
      <c r="L54" s="15"/>
      <c r="M54" s="15">
        <f>ROUNDDOWN(SUM(M34:M53),0)</f>
        <v>0</v>
      </c>
      <c r="N54" s="56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</row>
    <row r="55" spans="1:14" ht="12">
      <c r="A55" s="144" t="s">
        <v>31</v>
      </c>
      <c r="B55" s="145"/>
      <c r="C55" s="146"/>
      <c r="D55" s="147"/>
      <c r="E55" s="148"/>
      <c r="F55" s="149"/>
      <c r="G55" s="150"/>
      <c r="H55" s="148"/>
      <c r="I55" s="149"/>
      <c r="J55" s="150"/>
      <c r="K55" s="148"/>
      <c r="L55" s="149"/>
      <c r="M55" s="150"/>
      <c r="N55" s="151"/>
    </row>
    <row r="56" spans="1:14" ht="39" customHeight="1">
      <c r="A56" s="50">
        <v>1</v>
      </c>
      <c r="B56" s="74" t="s">
        <v>460</v>
      </c>
      <c r="C56" s="3" t="s">
        <v>285</v>
      </c>
      <c r="D56" s="6"/>
      <c r="E56" s="5"/>
      <c r="F56" s="63">
        <v>1</v>
      </c>
      <c r="G56" s="142">
        <f>ROUND(E56*F56,0)</f>
        <v>0</v>
      </c>
      <c r="H56" s="5">
        <f>G56</f>
        <v>0</v>
      </c>
      <c r="I56" s="63">
        <v>1</v>
      </c>
      <c r="J56" s="142">
        <f>ROUND(H56*I56,0)</f>
        <v>0</v>
      </c>
      <c r="K56" s="5">
        <f>J56</f>
        <v>0</v>
      </c>
      <c r="L56" s="63">
        <v>1</v>
      </c>
      <c r="M56" s="142">
        <f>ROUND(K56*L56,0)</f>
        <v>0</v>
      </c>
      <c r="N56" s="52"/>
    </row>
    <row r="57" spans="1:14" ht="12">
      <c r="A57" s="50">
        <v>2</v>
      </c>
      <c r="B57" s="78" t="s">
        <v>336</v>
      </c>
      <c r="C57" s="31"/>
      <c r="D57" s="32"/>
      <c r="E57" s="5"/>
      <c r="F57" s="63"/>
      <c r="G57" s="142"/>
      <c r="H57" s="164"/>
      <c r="I57" s="141"/>
      <c r="J57" s="142"/>
      <c r="K57" s="164"/>
      <c r="L57" s="165"/>
      <c r="M57" s="142"/>
      <c r="N57" s="55"/>
    </row>
    <row r="58" spans="1:14" ht="24">
      <c r="A58" s="72"/>
      <c r="B58" s="137" t="s">
        <v>392</v>
      </c>
      <c r="C58" s="162" t="s">
        <v>33</v>
      </c>
      <c r="D58" s="163"/>
      <c r="E58" s="164"/>
      <c r="F58" s="63">
        <v>1</v>
      </c>
      <c r="G58" s="142">
        <f aca="true" t="shared" si="7" ref="G58:G65">ROUND(E58*F58,0)</f>
        <v>0</v>
      </c>
      <c r="H58" s="164">
        <f aca="true" t="shared" si="8" ref="H58:H65">G58</f>
        <v>0</v>
      </c>
      <c r="I58" s="141">
        <v>1</v>
      </c>
      <c r="J58" s="142">
        <f aca="true" t="shared" si="9" ref="J58:J65">ROUND(H58*I58,0)</f>
        <v>0</v>
      </c>
      <c r="K58" s="164">
        <f>J58</f>
        <v>0</v>
      </c>
      <c r="L58" s="165">
        <v>1</v>
      </c>
      <c r="M58" s="142">
        <f aca="true" t="shared" si="10" ref="M58:M65">ROUND(K58*L58,0)</f>
        <v>0</v>
      </c>
      <c r="N58" s="166"/>
    </row>
    <row r="59" spans="1:14" ht="22.5">
      <c r="A59" s="73"/>
      <c r="B59" s="75" t="s">
        <v>253</v>
      </c>
      <c r="C59" s="3" t="s">
        <v>33</v>
      </c>
      <c r="D59" s="6"/>
      <c r="E59" s="5"/>
      <c r="F59" s="63">
        <v>1</v>
      </c>
      <c r="G59" s="142">
        <f t="shared" si="7"/>
        <v>0</v>
      </c>
      <c r="H59" s="5">
        <f t="shared" si="8"/>
        <v>0</v>
      </c>
      <c r="I59" s="64">
        <v>1</v>
      </c>
      <c r="J59" s="142">
        <f t="shared" si="9"/>
        <v>0</v>
      </c>
      <c r="K59" s="5">
        <f aca="true" t="shared" si="11" ref="K59:K65">J59</f>
        <v>0</v>
      </c>
      <c r="L59" s="63">
        <v>1</v>
      </c>
      <c r="M59" s="142">
        <f t="shared" si="10"/>
        <v>0</v>
      </c>
      <c r="N59" s="52"/>
    </row>
    <row r="60" spans="1:14" ht="36">
      <c r="A60" s="71">
        <v>3</v>
      </c>
      <c r="B60" s="75" t="s">
        <v>393</v>
      </c>
      <c r="C60" s="3" t="s">
        <v>243</v>
      </c>
      <c r="D60" s="6"/>
      <c r="E60" s="5"/>
      <c r="F60" s="63">
        <v>1</v>
      </c>
      <c r="G60" s="142">
        <f t="shared" si="7"/>
        <v>0</v>
      </c>
      <c r="H60" s="5">
        <f t="shared" si="8"/>
        <v>0</v>
      </c>
      <c r="I60" s="64">
        <v>1</v>
      </c>
      <c r="J60" s="142">
        <f t="shared" si="9"/>
        <v>0</v>
      </c>
      <c r="K60" s="5">
        <f t="shared" si="11"/>
        <v>0</v>
      </c>
      <c r="L60" s="63">
        <v>1</v>
      </c>
      <c r="M60" s="142">
        <f t="shared" si="10"/>
        <v>0</v>
      </c>
      <c r="N60" s="52"/>
    </row>
    <row r="61" spans="1:14" ht="48">
      <c r="A61" s="71">
        <v>4</v>
      </c>
      <c r="B61" s="75" t="s">
        <v>287</v>
      </c>
      <c r="C61" s="3" t="s">
        <v>60</v>
      </c>
      <c r="D61" s="6"/>
      <c r="E61" s="5"/>
      <c r="F61" s="63">
        <v>1</v>
      </c>
      <c r="G61" s="142">
        <f t="shared" si="7"/>
        <v>0</v>
      </c>
      <c r="H61" s="5">
        <f t="shared" si="8"/>
        <v>0</v>
      </c>
      <c r="I61" s="64">
        <v>1</v>
      </c>
      <c r="J61" s="142">
        <f t="shared" si="9"/>
        <v>0</v>
      </c>
      <c r="K61" s="5">
        <f t="shared" si="11"/>
        <v>0</v>
      </c>
      <c r="L61" s="63">
        <v>1</v>
      </c>
      <c r="M61" s="142">
        <f t="shared" si="10"/>
        <v>0</v>
      </c>
      <c r="N61" s="52"/>
    </row>
    <row r="62" spans="1:14" ht="24">
      <c r="A62" s="50">
        <v>5</v>
      </c>
      <c r="B62" s="75" t="s">
        <v>388</v>
      </c>
      <c r="C62" s="4" t="s">
        <v>156</v>
      </c>
      <c r="D62" s="36"/>
      <c r="E62" s="5"/>
      <c r="F62" s="63">
        <v>1</v>
      </c>
      <c r="G62" s="142">
        <f t="shared" si="7"/>
        <v>0</v>
      </c>
      <c r="H62" s="5">
        <f t="shared" si="8"/>
        <v>0</v>
      </c>
      <c r="I62" s="64">
        <v>1</v>
      </c>
      <c r="J62" s="142">
        <f t="shared" si="9"/>
        <v>0</v>
      </c>
      <c r="K62" s="5">
        <f t="shared" si="11"/>
        <v>0</v>
      </c>
      <c r="L62" s="63">
        <v>1</v>
      </c>
      <c r="M62" s="142">
        <f t="shared" si="10"/>
        <v>0</v>
      </c>
      <c r="N62" s="57"/>
    </row>
    <row r="63" spans="1:14" ht="36">
      <c r="A63" s="71">
        <v>6</v>
      </c>
      <c r="B63" s="75" t="s">
        <v>480</v>
      </c>
      <c r="C63" s="4" t="s">
        <v>390</v>
      </c>
      <c r="D63" s="92"/>
      <c r="E63" s="5"/>
      <c r="F63" s="63">
        <v>1</v>
      </c>
      <c r="G63" s="142">
        <f t="shared" si="7"/>
        <v>0</v>
      </c>
      <c r="H63" s="5">
        <f t="shared" si="8"/>
        <v>0</v>
      </c>
      <c r="I63" s="64">
        <v>1</v>
      </c>
      <c r="J63" s="142">
        <f t="shared" si="9"/>
        <v>0</v>
      </c>
      <c r="K63" s="5">
        <f t="shared" si="11"/>
        <v>0</v>
      </c>
      <c r="L63" s="63">
        <v>1</v>
      </c>
      <c r="M63" s="142">
        <f t="shared" si="10"/>
        <v>0</v>
      </c>
      <c r="N63" s="93"/>
    </row>
    <row r="64" spans="1:14" ht="36">
      <c r="A64" s="50">
        <v>7</v>
      </c>
      <c r="B64" s="75" t="s">
        <v>394</v>
      </c>
      <c r="C64" s="4" t="s">
        <v>288</v>
      </c>
      <c r="D64" s="36"/>
      <c r="E64" s="5"/>
      <c r="F64" s="63">
        <v>1</v>
      </c>
      <c r="G64" s="142">
        <f t="shared" si="7"/>
        <v>0</v>
      </c>
      <c r="H64" s="5">
        <f t="shared" si="8"/>
        <v>0</v>
      </c>
      <c r="I64" s="64">
        <v>1</v>
      </c>
      <c r="J64" s="142">
        <f t="shared" si="9"/>
        <v>0</v>
      </c>
      <c r="K64" s="5">
        <f t="shared" si="11"/>
        <v>0</v>
      </c>
      <c r="L64" s="63">
        <v>1</v>
      </c>
      <c r="M64" s="142">
        <f t="shared" si="10"/>
        <v>0</v>
      </c>
      <c r="N64" s="57"/>
    </row>
    <row r="65" spans="1:14" ht="45">
      <c r="A65" s="71">
        <v>8</v>
      </c>
      <c r="B65" s="75" t="s">
        <v>248</v>
      </c>
      <c r="C65" s="2" t="s">
        <v>335</v>
      </c>
      <c r="D65" s="27"/>
      <c r="E65" s="5"/>
      <c r="F65" s="63">
        <v>1</v>
      </c>
      <c r="G65" s="142">
        <f t="shared" si="7"/>
        <v>0</v>
      </c>
      <c r="H65" s="5">
        <f t="shared" si="8"/>
        <v>0</v>
      </c>
      <c r="I65" s="64">
        <v>1</v>
      </c>
      <c r="J65" s="142">
        <f t="shared" si="9"/>
        <v>0</v>
      </c>
      <c r="K65" s="5">
        <f t="shared" si="11"/>
        <v>0</v>
      </c>
      <c r="L65" s="63">
        <v>1</v>
      </c>
      <c r="M65" s="142">
        <f t="shared" si="10"/>
        <v>0</v>
      </c>
      <c r="N65" s="54"/>
    </row>
    <row r="66" spans="1:36" s="10" customFormat="1" ht="12">
      <c r="A66" s="33"/>
      <c r="B66" s="79" t="s">
        <v>145</v>
      </c>
      <c r="C66" s="69"/>
      <c r="D66" s="15">
        <f>ROUND(SUM(D56:D65),2)</f>
        <v>0</v>
      </c>
      <c r="E66" s="15">
        <f>ROUND(SUM(E56:E65),2)</f>
        <v>0</v>
      </c>
      <c r="F66" s="15"/>
      <c r="G66" s="15">
        <f>ROUND(SUM(G56:G65),0)</f>
        <v>0</v>
      </c>
      <c r="H66" s="15">
        <f>ROUND(SUM(H56:H65),2)</f>
        <v>0</v>
      </c>
      <c r="I66" s="15"/>
      <c r="J66" s="15">
        <f>ROUND(SUM(J56:J65),0)</f>
        <v>0</v>
      </c>
      <c r="K66" s="15">
        <f>ROUND(SUM(K56:K65),2)</f>
        <v>0</v>
      </c>
      <c r="L66" s="15"/>
      <c r="M66" s="15">
        <f>ROUND(SUM(M56:M65),0)</f>
        <v>0</v>
      </c>
      <c r="N66" s="56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</row>
    <row r="67" spans="1:14" ht="12">
      <c r="A67" s="84" t="s">
        <v>34</v>
      </c>
      <c r="B67" s="85"/>
      <c r="C67" s="86"/>
      <c r="D67" s="87"/>
      <c r="E67" s="88"/>
      <c r="F67" s="89"/>
      <c r="G67" s="90"/>
      <c r="H67" s="88"/>
      <c r="I67" s="89"/>
      <c r="J67" s="90"/>
      <c r="K67" s="88"/>
      <c r="L67" s="89"/>
      <c r="M67" s="90"/>
      <c r="N67" s="91"/>
    </row>
    <row r="68" spans="1:14" ht="12">
      <c r="A68" s="73">
        <v>1</v>
      </c>
      <c r="B68" s="196" t="s">
        <v>35</v>
      </c>
      <c r="C68" s="162" t="s">
        <v>37</v>
      </c>
      <c r="D68" s="163"/>
      <c r="E68" s="163">
        <v>380465.66</v>
      </c>
      <c r="F68" s="165">
        <v>1</v>
      </c>
      <c r="G68" s="142">
        <f aca="true" t="shared" si="12" ref="G68:G73">ROUND(E68*F68,0)</f>
        <v>380466</v>
      </c>
      <c r="H68" s="164">
        <f aca="true" t="shared" si="13" ref="H68:H73">G68</f>
        <v>380466</v>
      </c>
      <c r="I68" s="141">
        <v>1</v>
      </c>
      <c r="J68" s="142">
        <f aca="true" t="shared" si="14" ref="J68:J73">ROUND(H68*I68,0)</f>
        <v>380466</v>
      </c>
      <c r="K68" s="164">
        <f aca="true" t="shared" si="15" ref="K68:K73">J68</f>
        <v>380466</v>
      </c>
      <c r="L68" s="165">
        <v>1</v>
      </c>
      <c r="M68" s="142">
        <f aca="true" t="shared" si="16" ref="M68:M73">ROUND(K68*L68,0)</f>
        <v>380466</v>
      </c>
      <c r="N68" s="166"/>
    </row>
    <row r="69" spans="1:14" ht="12">
      <c r="A69" s="50">
        <v>2</v>
      </c>
      <c r="B69" s="74" t="s">
        <v>36</v>
      </c>
      <c r="C69" s="3" t="s">
        <v>38</v>
      </c>
      <c r="D69" s="6"/>
      <c r="E69" s="6">
        <v>3280.82</v>
      </c>
      <c r="F69" s="165">
        <v>1</v>
      </c>
      <c r="G69" s="142">
        <f t="shared" si="12"/>
        <v>3281</v>
      </c>
      <c r="H69" s="5">
        <f t="shared" si="13"/>
        <v>3281</v>
      </c>
      <c r="I69" s="64">
        <v>1</v>
      </c>
      <c r="J69" s="142">
        <f t="shared" si="14"/>
        <v>3281</v>
      </c>
      <c r="K69" s="5">
        <f t="shared" si="15"/>
        <v>3281</v>
      </c>
      <c r="L69" s="63">
        <v>1</v>
      </c>
      <c r="M69" s="142">
        <f t="shared" si="16"/>
        <v>3281</v>
      </c>
      <c r="N69" s="52"/>
    </row>
    <row r="70" spans="1:14" ht="12">
      <c r="A70" s="50">
        <v>3</v>
      </c>
      <c r="B70" s="74" t="s">
        <v>39</v>
      </c>
      <c r="C70" s="3" t="s">
        <v>455</v>
      </c>
      <c r="D70" s="6"/>
      <c r="E70" s="5">
        <v>48842.84</v>
      </c>
      <c r="F70" s="165">
        <v>1</v>
      </c>
      <c r="G70" s="142">
        <f t="shared" si="12"/>
        <v>48843</v>
      </c>
      <c r="H70" s="5">
        <f t="shared" si="13"/>
        <v>48843</v>
      </c>
      <c r="I70" s="64">
        <v>1</v>
      </c>
      <c r="J70" s="142">
        <f t="shared" si="14"/>
        <v>48843</v>
      </c>
      <c r="K70" s="5">
        <f t="shared" si="15"/>
        <v>48843</v>
      </c>
      <c r="L70" s="63">
        <v>1</v>
      </c>
      <c r="M70" s="142">
        <f t="shared" si="16"/>
        <v>48843</v>
      </c>
      <c r="N70" s="52"/>
    </row>
    <row r="71" spans="1:14" ht="12">
      <c r="A71" s="50">
        <v>4</v>
      </c>
      <c r="B71" s="74" t="s">
        <v>40</v>
      </c>
      <c r="C71" s="3" t="s">
        <v>41</v>
      </c>
      <c r="D71" s="6"/>
      <c r="E71" s="6">
        <v>13870.28</v>
      </c>
      <c r="F71" s="165">
        <v>1</v>
      </c>
      <c r="G71" s="142">
        <f t="shared" si="12"/>
        <v>13870</v>
      </c>
      <c r="H71" s="5">
        <f t="shared" si="13"/>
        <v>13870</v>
      </c>
      <c r="I71" s="64">
        <v>1</v>
      </c>
      <c r="J71" s="142">
        <f t="shared" si="14"/>
        <v>13870</v>
      </c>
      <c r="K71" s="5">
        <f t="shared" si="15"/>
        <v>13870</v>
      </c>
      <c r="L71" s="63">
        <v>1</v>
      </c>
      <c r="M71" s="142">
        <f t="shared" si="16"/>
        <v>13870</v>
      </c>
      <c r="N71" s="52"/>
    </row>
    <row r="72" spans="1:14" ht="12">
      <c r="A72" s="50">
        <v>5</v>
      </c>
      <c r="B72" s="74" t="s">
        <v>42</v>
      </c>
      <c r="C72" s="3" t="s">
        <v>41</v>
      </c>
      <c r="D72" s="6"/>
      <c r="E72" s="6">
        <v>10012.02</v>
      </c>
      <c r="F72" s="165">
        <v>1</v>
      </c>
      <c r="G72" s="142">
        <f t="shared" si="12"/>
        <v>10012</v>
      </c>
      <c r="H72" s="5">
        <f t="shared" si="13"/>
        <v>10012</v>
      </c>
      <c r="I72" s="64">
        <v>1</v>
      </c>
      <c r="J72" s="142">
        <f t="shared" si="14"/>
        <v>10012</v>
      </c>
      <c r="K72" s="5">
        <f t="shared" si="15"/>
        <v>10012</v>
      </c>
      <c r="L72" s="63">
        <v>1</v>
      </c>
      <c r="M72" s="142">
        <f t="shared" si="16"/>
        <v>10012</v>
      </c>
      <c r="N72" s="52"/>
    </row>
    <row r="73" spans="1:14" ht="12">
      <c r="A73" s="71">
        <v>6</v>
      </c>
      <c r="B73" s="75" t="s">
        <v>43</v>
      </c>
      <c r="C73" s="2" t="s">
        <v>41</v>
      </c>
      <c r="D73" s="25"/>
      <c r="E73" s="5"/>
      <c r="F73" s="165">
        <v>1</v>
      </c>
      <c r="G73" s="142">
        <f t="shared" si="12"/>
        <v>0</v>
      </c>
      <c r="H73" s="5">
        <f t="shared" si="13"/>
        <v>0</v>
      </c>
      <c r="I73" s="64">
        <v>1</v>
      </c>
      <c r="J73" s="142">
        <f t="shared" si="14"/>
        <v>0</v>
      </c>
      <c r="K73" s="5">
        <f t="shared" si="15"/>
        <v>0</v>
      </c>
      <c r="L73" s="63">
        <v>1</v>
      </c>
      <c r="M73" s="142">
        <f t="shared" si="16"/>
        <v>0</v>
      </c>
      <c r="N73" s="53"/>
    </row>
    <row r="74" spans="1:36" s="10" customFormat="1" ht="12">
      <c r="A74" s="33"/>
      <c r="B74" s="79" t="s">
        <v>146</v>
      </c>
      <c r="C74" s="69"/>
      <c r="D74" s="15">
        <f>ROUNDDOWN(SUM(D68:D73),2)</f>
        <v>0</v>
      </c>
      <c r="E74" s="15">
        <f aca="true" t="shared" si="17" ref="E74:K74">ROUNDDOWN(SUM(E68:E73),2)</f>
        <v>456471.62</v>
      </c>
      <c r="F74" s="15"/>
      <c r="G74" s="15">
        <f t="shared" si="17"/>
        <v>456472</v>
      </c>
      <c r="H74" s="15">
        <f t="shared" si="17"/>
        <v>456472</v>
      </c>
      <c r="I74" s="15"/>
      <c r="J74" s="15">
        <f>ROUNDDOWN(SUM(J68:J73),2)</f>
        <v>456472</v>
      </c>
      <c r="K74" s="15">
        <f t="shared" si="17"/>
        <v>456472</v>
      </c>
      <c r="L74" s="15"/>
      <c r="M74" s="15">
        <f>ROUNDDOWN(SUM(M68:M73),2)</f>
        <v>456472</v>
      </c>
      <c r="N74" s="56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</row>
    <row r="75" spans="1:14" ht="12">
      <c r="A75" s="84" t="s">
        <v>44</v>
      </c>
      <c r="B75" s="85"/>
      <c r="C75" s="86"/>
      <c r="D75" s="87"/>
      <c r="E75" s="88"/>
      <c r="F75" s="89"/>
      <c r="G75" s="90"/>
      <c r="H75" s="88"/>
      <c r="I75" s="89"/>
      <c r="J75" s="90"/>
      <c r="K75" s="88"/>
      <c r="L75" s="89"/>
      <c r="M75" s="90"/>
      <c r="N75" s="91"/>
    </row>
    <row r="76" spans="1:14" ht="22.5">
      <c r="A76" s="73">
        <v>1</v>
      </c>
      <c r="B76" s="223" t="s">
        <v>237</v>
      </c>
      <c r="C76" s="162" t="s">
        <v>238</v>
      </c>
      <c r="D76" s="163"/>
      <c r="E76" s="164"/>
      <c r="F76" s="165">
        <v>1</v>
      </c>
      <c r="G76" s="142">
        <f>ROUND(E76*F76,0)</f>
        <v>0</v>
      </c>
      <c r="H76" s="164">
        <f>G76</f>
        <v>0</v>
      </c>
      <c r="I76" s="141">
        <v>1</v>
      </c>
      <c r="J76" s="142">
        <f>ROUND(H76*I76,0)</f>
        <v>0</v>
      </c>
      <c r="K76" s="164">
        <f>J76</f>
        <v>0</v>
      </c>
      <c r="L76" s="165">
        <v>1</v>
      </c>
      <c r="M76" s="142">
        <f>ROUND(K76*L76,0)</f>
        <v>0</v>
      </c>
      <c r="N76" s="166"/>
    </row>
    <row r="77" spans="1:14" ht="22.5">
      <c r="A77" s="50">
        <v>2</v>
      </c>
      <c r="B77" s="74" t="s">
        <v>148</v>
      </c>
      <c r="C77" s="3" t="s">
        <v>45</v>
      </c>
      <c r="D77" s="6"/>
      <c r="E77" s="5"/>
      <c r="F77" s="165">
        <v>1</v>
      </c>
      <c r="G77" s="142">
        <f>ROUND(E77*F77,0)</f>
        <v>0</v>
      </c>
      <c r="H77" s="5">
        <f>G77</f>
        <v>0</v>
      </c>
      <c r="I77" s="64">
        <v>1</v>
      </c>
      <c r="J77" s="142">
        <f>ROUND(H77*I77,0)</f>
        <v>0</v>
      </c>
      <c r="K77" s="5">
        <f>J77</f>
        <v>0</v>
      </c>
      <c r="L77" s="63">
        <v>1</v>
      </c>
      <c r="M77" s="142">
        <f>ROUND(K77*L77,0)</f>
        <v>0</v>
      </c>
      <c r="N77" s="52"/>
    </row>
    <row r="78" spans="1:14" ht="22.5">
      <c r="A78" s="71">
        <v>3</v>
      </c>
      <c r="B78" s="80" t="s">
        <v>239</v>
      </c>
      <c r="C78" s="2" t="s">
        <v>238</v>
      </c>
      <c r="D78" s="25"/>
      <c r="E78" s="5"/>
      <c r="F78" s="165">
        <v>1</v>
      </c>
      <c r="G78" s="142">
        <f>ROUND(E78*F78,0)</f>
        <v>0</v>
      </c>
      <c r="H78" s="5">
        <f>G78</f>
        <v>0</v>
      </c>
      <c r="I78" s="64">
        <v>1</v>
      </c>
      <c r="J78" s="142">
        <f>ROUND(H78*I78,0)</f>
        <v>0</v>
      </c>
      <c r="K78" s="5">
        <f>J78</f>
        <v>0</v>
      </c>
      <c r="L78" s="63">
        <v>1</v>
      </c>
      <c r="M78" s="142">
        <f>ROUND(K78*L78,0)</f>
        <v>0</v>
      </c>
      <c r="N78" s="53"/>
    </row>
    <row r="79" spans="1:14" ht="22.5">
      <c r="A79" s="71">
        <v>4</v>
      </c>
      <c r="B79" s="80" t="s">
        <v>337</v>
      </c>
      <c r="C79" s="3" t="s">
        <v>33</v>
      </c>
      <c r="D79" s="25"/>
      <c r="E79" s="5"/>
      <c r="F79" s="165">
        <v>1</v>
      </c>
      <c r="G79" s="142">
        <f>ROUND(E79*F79,0)</f>
        <v>0</v>
      </c>
      <c r="H79" s="5">
        <f>G79</f>
        <v>0</v>
      </c>
      <c r="I79" s="64">
        <v>1</v>
      </c>
      <c r="J79" s="142">
        <f>ROUND(H79*I79,0)</f>
        <v>0</v>
      </c>
      <c r="K79" s="5">
        <f>J79</f>
        <v>0</v>
      </c>
      <c r="L79" s="63">
        <v>1</v>
      </c>
      <c r="M79" s="142">
        <f>ROUND(K79*L79,0)</f>
        <v>0</v>
      </c>
      <c r="N79" s="53"/>
    </row>
    <row r="80" spans="1:36" s="10" customFormat="1" ht="12">
      <c r="A80" s="33"/>
      <c r="B80" s="79" t="s">
        <v>149</v>
      </c>
      <c r="C80" s="69"/>
      <c r="D80" s="15">
        <f>ROUNDDOWN(SUM(D76:D79),2)</f>
        <v>0</v>
      </c>
      <c r="E80" s="15">
        <f>ROUNDDOWN(SUM(E76:E79),2)</f>
        <v>0</v>
      </c>
      <c r="F80" s="15"/>
      <c r="G80" s="15">
        <f>ROUNDDOWN(SUM(G76:G79),0)</f>
        <v>0</v>
      </c>
      <c r="H80" s="15">
        <f>ROUNDDOWN(SUM(H76:H79),2)</f>
        <v>0</v>
      </c>
      <c r="I80" s="15"/>
      <c r="J80" s="15">
        <f>ROUNDDOWN(SUM(J76:J79),0)</f>
        <v>0</v>
      </c>
      <c r="K80" s="15">
        <f>ROUNDDOWN(SUM(K76:K79),2)</f>
        <v>0</v>
      </c>
      <c r="L80" s="15"/>
      <c r="M80" s="15">
        <f>ROUNDDOWN(SUM(M76:M79),0)</f>
        <v>0</v>
      </c>
      <c r="N80" s="56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</row>
    <row r="81" spans="1:14" ht="12">
      <c r="A81" s="84" t="s">
        <v>383</v>
      </c>
      <c r="B81" s="85"/>
      <c r="C81" s="86"/>
      <c r="D81" s="87"/>
      <c r="E81" s="88"/>
      <c r="F81" s="89"/>
      <c r="G81" s="90"/>
      <c r="H81" s="88"/>
      <c r="I81" s="89"/>
      <c r="J81" s="90"/>
      <c r="K81" s="88"/>
      <c r="L81" s="89"/>
      <c r="M81" s="90"/>
      <c r="N81" s="91"/>
    </row>
    <row r="82" spans="1:14" ht="12">
      <c r="A82" s="73">
        <v>1</v>
      </c>
      <c r="B82" s="196" t="s">
        <v>351</v>
      </c>
      <c r="C82" s="162" t="s">
        <v>46</v>
      </c>
      <c r="D82" s="163"/>
      <c r="E82" s="164"/>
      <c r="F82" s="165">
        <v>1</v>
      </c>
      <c r="G82" s="142">
        <f>ROUND(E82*F82,0)</f>
        <v>0</v>
      </c>
      <c r="H82" s="164">
        <f>G82</f>
        <v>0</v>
      </c>
      <c r="I82" s="141">
        <v>1</v>
      </c>
      <c r="J82" s="142">
        <f>ROUND(H82*I82,0)</f>
        <v>0</v>
      </c>
      <c r="K82" s="164">
        <f>J82</f>
        <v>0</v>
      </c>
      <c r="L82" s="165">
        <v>1</v>
      </c>
      <c r="M82" s="142">
        <f>ROUND(K82*L82,0)</f>
        <v>0</v>
      </c>
      <c r="N82" s="166"/>
    </row>
    <row r="83" spans="1:14" ht="22.5">
      <c r="A83" s="50">
        <f aca="true" t="shared" si="18" ref="A83:A114">1+A82</f>
        <v>2</v>
      </c>
      <c r="B83" s="74" t="s">
        <v>47</v>
      </c>
      <c r="C83" s="3" t="s">
        <v>51</v>
      </c>
      <c r="D83" s="6"/>
      <c r="E83" s="5"/>
      <c r="F83" s="165">
        <v>1</v>
      </c>
      <c r="G83" s="142">
        <f aca="true" t="shared" si="19" ref="G83:G140">ROUND(E83*F83,0)</f>
        <v>0</v>
      </c>
      <c r="H83" s="5">
        <f aca="true" t="shared" si="20" ref="H83:H140">G83</f>
        <v>0</v>
      </c>
      <c r="I83" s="64">
        <v>1</v>
      </c>
      <c r="J83" s="142">
        <f aca="true" t="shared" si="21" ref="J83:J140">ROUND(H83*I83,0)</f>
        <v>0</v>
      </c>
      <c r="K83" s="5">
        <f aca="true" t="shared" si="22" ref="K83:K140">J83</f>
        <v>0</v>
      </c>
      <c r="L83" s="63">
        <v>1</v>
      </c>
      <c r="M83" s="142">
        <f aca="true" t="shared" si="23" ref="M83:M140">ROUND(K83*L83,0)</f>
        <v>0</v>
      </c>
      <c r="N83" s="52"/>
    </row>
    <row r="84" spans="1:14" ht="24">
      <c r="A84" s="50">
        <f t="shared" si="18"/>
        <v>3</v>
      </c>
      <c r="B84" s="74" t="s">
        <v>352</v>
      </c>
      <c r="C84" s="3" t="s">
        <v>18</v>
      </c>
      <c r="D84" s="6"/>
      <c r="E84" s="5"/>
      <c r="F84" s="165">
        <v>1</v>
      </c>
      <c r="G84" s="142">
        <f t="shared" si="19"/>
        <v>0</v>
      </c>
      <c r="H84" s="5">
        <f t="shared" si="20"/>
        <v>0</v>
      </c>
      <c r="I84" s="64">
        <v>1</v>
      </c>
      <c r="J84" s="142">
        <f t="shared" si="21"/>
        <v>0</v>
      </c>
      <c r="K84" s="5">
        <f t="shared" si="22"/>
        <v>0</v>
      </c>
      <c r="L84" s="63">
        <v>1</v>
      </c>
      <c r="M84" s="142">
        <f t="shared" si="23"/>
        <v>0</v>
      </c>
      <c r="N84" s="52"/>
    </row>
    <row r="85" spans="1:14" ht="22.5">
      <c r="A85" s="50">
        <f t="shared" si="18"/>
        <v>4</v>
      </c>
      <c r="B85" s="74" t="s">
        <v>48</v>
      </c>
      <c r="C85" s="3" t="s">
        <v>49</v>
      </c>
      <c r="D85" s="6"/>
      <c r="E85" s="5"/>
      <c r="F85" s="165">
        <v>1</v>
      </c>
      <c r="G85" s="142">
        <f t="shared" si="19"/>
        <v>0</v>
      </c>
      <c r="H85" s="5">
        <f t="shared" si="20"/>
        <v>0</v>
      </c>
      <c r="I85" s="64">
        <v>1</v>
      </c>
      <c r="J85" s="142">
        <f t="shared" si="21"/>
        <v>0</v>
      </c>
      <c r="K85" s="5">
        <f t="shared" si="22"/>
        <v>0</v>
      </c>
      <c r="L85" s="63">
        <v>1</v>
      </c>
      <c r="M85" s="142">
        <f t="shared" si="23"/>
        <v>0</v>
      </c>
      <c r="N85" s="52"/>
    </row>
    <row r="86" spans="1:14" ht="22.5">
      <c r="A86" s="50">
        <f t="shared" si="18"/>
        <v>5</v>
      </c>
      <c r="B86" s="74" t="s">
        <v>50</v>
      </c>
      <c r="C86" s="3" t="s">
        <v>51</v>
      </c>
      <c r="D86" s="6"/>
      <c r="E86" s="5"/>
      <c r="F86" s="165">
        <v>1</v>
      </c>
      <c r="G86" s="142">
        <f t="shared" si="19"/>
        <v>0</v>
      </c>
      <c r="H86" s="5">
        <f t="shared" si="20"/>
        <v>0</v>
      </c>
      <c r="I86" s="64">
        <v>1</v>
      </c>
      <c r="J86" s="142">
        <f t="shared" si="21"/>
        <v>0</v>
      </c>
      <c r="K86" s="5">
        <f t="shared" si="22"/>
        <v>0</v>
      </c>
      <c r="L86" s="63">
        <v>1</v>
      </c>
      <c r="M86" s="142">
        <f t="shared" si="23"/>
        <v>0</v>
      </c>
      <c r="N86" s="52"/>
    </row>
    <row r="87" spans="1:14" ht="12">
      <c r="A87" s="50">
        <f t="shared" si="18"/>
        <v>6</v>
      </c>
      <c r="B87" s="74" t="s">
        <v>118</v>
      </c>
      <c r="C87" s="3" t="s">
        <v>18</v>
      </c>
      <c r="D87" s="6"/>
      <c r="E87" s="5"/>
      <c r="F87" s="165">
        <v>1</v>
      </c>
      <c r="G87" s="142">
        <f t="shared" si="19"/>
        <v>0</v>
      </c>
      <c r="H87" s="5">
        <f t="shared" si="20"/>
        <v>0</v>
      </c>
      <c r="I87" s="64">
        <v>1</v>
      </c>
      <c r="J87" s="142">
        <f t="shared" si="21"/>
        <v>0</v>
      </c>
      <c r="K87" s="5">
        <f t="shared" si="22"/>
        <v>0</v>
      </c>
      <c r="L87" s="63">
        <v>1</v>
      </c>
      <c r="M87" s="142">
        <f t="shared" si="23"/>
        <v>0</v>
      </c>
      <c r="N87" s="52"/>
    </row>
    <row r="88" spans="1:14" ht="22.5">
      <c r="A88" s="50">
        <f t="shared" si="18"/>
        <v>7</v>
      </c>
      <c r="B88" s="74" t="s">
        <v>349</v>
      </c>
      <c r="C88" s="3" t="s">
        <v>56</v>
      </c>
      <c r="D88" s="6"/>
      <c r="E88" s="5"/>
      <c r="F88" s="165">
        <v>1</v>
      </c>
      <c r="G88" s="142">
        <f t="shared" si="19"/>
        <v>0</v>
      </c>
      <c r="H88" s="5">
        <f t="shared" si="20"/>
        <v>0</v>
      </c>
      <c r="I88" s="64">
        <v>1</v>
      </c>
      <c r="J88" s="142">
        <f t="shared" si="21"/>
        <v>0</v>
      </c>
      <c r="K88" s="5">
        <f t="shared" si="22"/>
        <v>0</v>
      </c>
      <c r="L88" s="63">
        <v>1</v>
      </c>
      <c r="M88" s="142">
        <f t="shared" si="23"/>
        <v>0</v>
      </c>
      <c r="N88" s="52"/>
    </row>
    <row r="89" spans="1:14" ht="22.5">
      <c r="A89" s="50">
        <f t="shared" si="18"/>
        <v>8</v>
      </c>
      <c r="B89" s="74" t="s">
        <v>52</v>
      </c>
      <c r="C89" s="3" t="s">
        <v>53</v>
      </c>
      <c r="D89" s="6"/>
      <c r="E89" s="5"/>
      <c r="F89" s="165">
        <v>1</v>
      </c>
      <c r="G89" s="142">
        <f t="shared" si="19"/>
        <v>0</v>
      </c>
      <c r="H89" s="5">
        <f t="shared" si="20"/>
        <v>0</v>
      </c>
      <c r="I89" s="64">
        <v>1</v>
      </c>
      <c r="J89" s="142">
        <f t="shared" si="21"/>
        <v>0</v>
      </c>
      <c r="K89" s="5">
        <f t="shared" si="22"/>
        <v>0</v>
      </c>
      <c r="L89" s="63">
        <v>1</v>
      </c>
      <c r="M89" s="142">
        <f t="shared" si="23"/>
        <v>0</v>
      </c>
      <c r="N89" s="52"/>
    </row>
    <row r="90" spans="1:14" ht="12">
      <c r="A90" s="50">
        <f t="shared" si="18"/>
        <v>9</v>
      </c>
      <c r="B90" s="74" t="s">
        <v>54</v>
      </c>
      <c r="C90" s="3" t="s">
        <v>22</v>
      </c>
      <c r="D90" s="6"/>
      <c r="E90" s="5"/>
      <c r="F90" s="165">
        <v>1</v>
      </c>
      <c r="G90" s="142">
        <f t="shared" si="19"/>
        <v>0</v>
      </c>
      <c r="H90" s="5">
        <f t="shared" si="20"/>
        <v>0</v>
      </c>
      <c r="I90" s="64">
        <v>1</v>
      </c>
      <c r="J90" s="142">
        <f t="shared" si="21"/>
        <v>0</v>
      </c>
      <c r="K90" s="5">
        <f t="shared" si="22"/>
        <v>0</v>
      </c>
      <c r="L90" s="63">
        <v>1</v>
      </c>
      <c r="M90" s="142">
        <f t="shared" si="23"/>
        <v>0</v>
      </c>
      <c r="N90" s="52"/>
    </row>
    <row r="91" spans="1:14" ht="22.5">
      <c r="A91" s="50">
        <f t="shared" si="18"/>
        <v>10</v>
      </c>
      <c r="B91" s="74" t="s">
        <v>64</v>
      </c>
      <c r="C91" s="3" t="s">
        <v>255</v>
      </c>
      <c r="D91" s="6"/>
      <c r="E91" s="5"/>
      <c r="F91" s="165">
        <v>1</v>
      </c>
      <c r="G91" s="142">
        <f t="shared" si="19"/>
        <v>0</v>
      </c>
      <c r="H91" s="5">
        <f t="shared" si="20"/>
        <v>0</v>
      </c>
      <c r="I91" s="64">
        <v>1</v>
      </c>
      <c r="J91" s="142">
        <f t="shared" si="21"/>
        <v>0</v>
      </c>
      <c r="K91" s="5">
        <f t="shared" si="22"/>
        <v>0</v>
      </c>
      <c r="L91" s="63">
        <v>1</v>
      </c>
      <c r="M91" s="142">
        <f t="shared" si="23"/>
        <v>0</v>
      </c>
      <c r="N91" s="52"/>
    </row>
    <row r="92" spans="1:14" ht="22.5">
      <c r="A92" s="50">
        <f t="shared" si="18"/>
        <v>11</v>
      </c>
      <c r="B92" s="74" t="s">
        <v>254</v>
      </c>
      <c r="C92" s="3" t="s">
        <v>255</v>
      </c>
      <c r="D92" s="6"/>
      <c r="E92" s="5"/>
      <c r="F92" s="165">
        <v>1</v>
      </c>
      <c r="G92" s="142">
        <f t="shared" si="19"/>
        <v>0</v>
      </c>
      <c r="H92" s="5">
        <f t="shared" si="20"/>
        <v>0</v>
      </c>
      <c r="I92" s="64">
        <v>1</v>
      </c>
      <c r="J92" s="142">
        <f t="shared" si="21"/>
        <v>0</v>
      </c>
      <c r="K92" s="5">
        <f t="shared" si="22"/>
        <v>0</v>
      </c>
      <c r="L92" s="63">
        <v>1</v>
      </c>
      <c r="M92" s="142">
        <f t="shared" si="23"/>
        <v>0</v>
      </c>
      <c r="N92" s="52"/>
    </row>
    <row r="93" spans="1:14" ht="12">
      <c r="A93" s="50">
        <f t="shared" si="18"/>
        <v>12</v>
      </c>
      <c r="B93" s="74" t="s">
        <v>364</v>
      </c>
      <c r="C93" s="3" t="s">
        <v>55</v>
      </c>
      <c r="D93" s="6"/>
      <c r="E93" s="5"/>
      <c r="F93" s="165">
        <v>1</v>
      </c>
      <c r="G93" s="142">
        <f t="shared" si="19"/>
        <v>0</v>
      </c>
      <c r="H93" s="5">
        <f t="shared" si="20"/>
        <v>0</v>
      </c>
      <c r="I93" s="64">
        <v>1</v>
      </c>
      <c r="J93" s="142">
        <f t="shared" si="21"/>
        <v>0</v>
      </c>
      <c r="K93" s="5">
        <f t="shared" si="22"/>
        <v>0</v>
      </c>
      <c r="L93" s="64">
        <v>1</v>
      </c>
      <c r="M93" s="142">
        <f t="shared" si="23"/>
        <v>0</v>
      </c>
      <c r="N93" s="52"/>
    </row>
    <row r="94" spans="1:14" ht="24">
      <c r="A94" s="50">
        <f t="shared" si="18"/>
        <v>13</v>
      </c>
      <c r="B94" s="74" t="s">
        <v>397</v>
      </c>
      <c r="C94" s="3" t="s">
        <v>55</v>
      </c>
      <c r="D94" s="6"/>
      <c r="E94" s="5"/>
      <c r="F94" s="165">
        <v>1</v>
      </c>
      <c r="G94" s="142">
        <f t="shared" si="19"/>
        <v>0</v>
      </c>
      <c r="H94" s="5">
        <f t="shared" si="20"/>
        <v>0</v>
      </c>
      <c r="I94" s="64">
        <v>1</v>
      </c>
      <c r="J94" s="142">
        <f t="shared" si="21"/>
        <v>0</v>
      </c>
      <c r="K94" s="5">
        <f t="shared" si="22"/>
        <v>0</v>
      </c>
      <c r="L94" s="64">
        <v>1</v>
      </c>
      <c r="M94" s="142">
        <f t="shared" si="23"/>
        <v>0</v>
      </c>
      <c r="N94" s="52"/>
    </row>
    <row r="95" spans="1:14" ht="25.5" customHeight="1">
      <c r="A95" s="50">
        <f t="shared" si="18"/>
        <v>14</v>
      </c>
      <c r="B95" s="74" t="s">
        <v>442</v>
      </c>
      <c r="C95" s="3" t="s">
        <v>60</v>
      </c>
      <c r="D95" s="6"/>
      <c r="E95" s="5"/>
      <c r="F95" s="165">
        <v>1</v>
      </c>
      <c r="G95" s="142">
        <f t="shared" si="19"/>
        <v>0</v>
      </c>
      <c r="H95" s="5">
        <f t="shared" si="20"/>
        <v>0</v>
      </c>
      <c r="I95" s="64">
        <v>1</v>
      </c>
      <c r="J95" s="142">
        <f t="shared" si="21"/>
        <v>0</v>
      </c>
      <c r="K95" s="5">
        <f t="shared" si="22"/>
        <v>0</v>
      </c>
      <c r="L95" s="64">
        <v>1</v>
      </c>
      <c r="M95" s="142">
        <f t="shared" si="23"/>
        <v>0</v>
      </c>
      <c r="N95" s="52"/>
    </row>
    <row r="96" spans="1:14" ht="25.5" customHeight="1">
      <c r="A96" s="50">
        <f t="shared" si="18"/>
        <v>15</v>
      </c>
      <c r="B96" s="74" t="s">
        <v>447</v>
      </c>
      <c r="C96" s="3" t="s">
        <v>60</v>
      </c>
      <c r="D96" s="6"/>
      <c r="E96" s="5"/>
      <c r="F96" s="165">
        <v>1</v>
      </c>
      <c r="G96" s="142">
        <f t="shared" si="19"/>
        <v>0</v>
      </c>
      <c r="H96" s="5">
        <f t="shared" si="20"/>
        <v>0</v>
      </c>
      <c r="I96" s="64">
        <v>1</v>
      </c>
      <c r="J96" s="142">
        <f t="shared" si="21"/>
        <v>0</v>
      </c>
      <c r="K96" s="5">
        <f t="shared" si="22"/>
        <v>0</v>
      </c>
      <c r="L96" s="64">
        <v>1</v>
      </c>
      <c r="M96" s="142">
        <f t="shared" si="23"/>
        <v>0</v>
      </c>
      <c r="N96" s="52"/>
    </row>
    <row r="97" spans="1:14" ht="36.75" customHeight="1">
      <c r="A97" s="50">
        <v>16</v>
      </c>
      <c r="B97" s="74" t="s">
        <v>342</v>
      </c>
      <c r="C97" s="3"/>
      <c r="D97" s="6"/>
      <c r="E97" s="5"/>
      <c r="F97" s="165">
        <v>1</v>
      </c>
      <c r="G97" s="142">
        <f t="shared" si="19"/>
        <v>0</v>
      </c>
      <c r="H97" s="5">
        <f t="shared" si="20"/>
        <v>0</v>
      </c>
      <c r="I97" s="64">
        <v>1</v>
      </c>
      <c r="J97" s="142">
        <f t="shared" si="21"/>
        <v>0</v>
      </c>
      <c r="K97" s="5">
        <f t="shared" si="22"/>
        <v>0</v>
      </c>
      <c r="L97" s="64">
        <v>1</v>
      </c>
      <c r="M97" s="142">
        <f t="shared" si="23"/>
        <v>0</v>
      </c>
      <c r="N97" s="52"/>
    </row>
    <row r="98" spans="1:14" ht="24">
      <c r="A98" s="50">
        <v>17</v>
      </c>
      <c r="B98" s="74" t="s">
        <v>58</v>
      </c>
      <c r="C98" s="3" t="s">
        <v>452</v>
      </c>
      <c r="D98" s="6"/>
      <c r="E98" s="5"/>
      <c r="F98" s="165">
        <v>1</v>
      </c>
      <c r="G98" s="142">
        <f t="shared" si="19"/>
        <v>0</v>
      </c>
      <c r="H98" s="5">
        <f t="shared" si="20"/>
        <v>0</v>
      </c>
      <c r="I98" s="64">
        <v>1</v>
      </c>
      <c r="J98" s="142">
        <f t="shared" si="21"/>
        <v>0</v>
      </c>
      <c r="K98" s="5">
        <f t="shared" si="22"/>
        <v>0</v>
      </c>
      <c r="L98" s="64">
        <v>1</v>
      </c>
      <c r="M98" s="142">
        <f t="shared" si="23"/>
        <v>0</v>
      </c>
      <c r="N98" s="52"/>
    </row>
    <row r="99" spans="1:14" ht="22.5">
      <c r="A99" s="50">
        <f t="shared" si="18"/>
        <v>18</v>
      </c>
      <c r="B99" s="74" t="s">
        <v>338</v>
      </c>
      <c r="C99" s="3" t="s">
        <v>452</v>
      </c>
      <c r="D99" s="6"/>
      <c r="E99" s="5"/>
      <c r="F99" s="165">
        <v>1</v>
      </c>
      <c r="G99" s="142">
        <f t="shared" si="19"/>
        <v>0</v>
      </c>
      <c r="H99" s="5">
        <f t="shared" si="20"/>
        <v>0</v>
      </c>
      <c r="I99" s="64">
        <v>1</v>
      </c>
      <c r="J99" s="142">
        <f t="shared" si="21"/>
        <v>0</v>
      </c>
      <c r="K99" s="5">
        <f t="shared" si="22"/>
        <v>0</v>
      </c>
      <c r="L99" s="64">
        <v>1</v>
      </c>
      <c r="M99" s="142">
        <f t="shared" si="23"/>
        <v>0</v>
      </c>
      <c r="N99" s="52"/>
    </row>
    <row r="100" spans="1:14" ht="24">
      <c r="A100" s="50">
        <f t="shared" si="18"/>
        <v>19</v>
      </c>
      <c r="B100" s="74" t="s">
        <v>443</v>
      </c>
      <c r="C100" s="3" t="s">
        <v>60</v>
      </c>
      <c r="D100" s="6"/>
      <c r="E100" s="5"/>
      <c r="F100" s="165">
        <v>1</v>
      </c>
      <c r="G100" s="142">
        <f t="shared" si="19"/>
        <v>0</v>
      </c>
      <c r="H100" s="5">
        <f t="shared" si="20"/>
        <v>0</v>
      </c>
      <c r="I100" s="64">
        <v>1</v>
      </c>
      <c r="J100" s="142">
        <f t="shared" si="21"/>
        <v>0</v>
      </c>
      <c r="K100" s="5">
        <f t="shared" si="22"/>
        <v>0</v>
      </c>
      <c r="L100" s="64">
        <v>1</v>
      </c>
      <c r="M100" s="142">
        <f t="shared" si="23"/>
        <v>0</v>
      </c>
      <c r="N100" s="52"/>
    </row>
    <row r="101" spans="1:14" ht="22.5">
      <c r="A101" s="50">
        <f t="shared" si="18"/>
        <v>20</v>
      </c>
      <c r="B101" s="74" t="s">
        <v>57</v>
      </c>
      <c r="C101" s="3" t="s">
        <v>452</v>
      </c>
      <c r="D101" s="6"/>
      <c r="E101" s="5"/>
      <c r="F101" s="165">
        <v>1</v>
      </c>
      <c r="G101" s="142">
        <f t="shared" si="19"/>
        <v>0</v>
      </c>
      <c r="H101" s="5">
        <f t="shared" si="20"/>
        <v>0</v>
      </c>
      <c r="I101" s="64">
        <v>1</v>
      </c>
      <c r="J101" s="142">
        <f t="shared" si="21"/>
        <v>0</v>
      </c>
      <c r="K101" s="5">
        <f t="shared" si="22"/>
        <v>0</v>
      </c>
      <c r="L101" s="64">
        <v>1</v>
      </c>
      <c r="M101" s="142">
        <f t="shared" si="23"/>
        <v>0</v>
      </c>
      <c r="N101" s="52"/>
    </row>
    <row r="102" spans="1:14" ht="24">
      <c r="A102" s="50">
        <f t="shared" si="18"/>
        <v>21</v>
      </c>
      <c r="B102" s="74" t="s">
        <v>83</v>
      </c>
      <c r="C102" s="3" t="s">
        <v>84</v>
      </c>
      <c r="D102" s="6"/>
      <c r="E102" s="5"/>
      <c r="F102" s="165">
        <v>1</v>
      </c>
      <c r="G102" s="142">
        <f t="shared" si="19"/>
        <v>0</v>
      </c>
      <c r="H102" s="5">
        <f t="shared" si="20"/>
        <v>0</v>
      </c>
      <c r="I102" s="64">
        <v>1</v>
      </c>
      <c r="J102" s="142">
        <f t="shared" si="21"/>
        <v>0</v>
      </c>
      <c r="K102" s="5">
        <f t="shared" si="22"/>
        <v>0</v>
      </c>
      <c r="L102" s="64">
        <v>1</v>
      </c>
      <c r="M102" s="142">
        <f t="shared" si="23"/>
        <v>0</v>
      </c>
      <c r="N102" s="52"/>
    </row>
    <row r="103" spans="1:14" ht="22.5">
      <c r="A103" s="50">
        <f t="shared" si="18"/>
        <v>22</v>
      </c>
      <c r="B103" s="74" t="s">
        <v>63</v>
      </c>
      <c r="C103" s="3" t="s">
        <v>60</v>
      </c>
      <c r="D103" s="6"/>
      <c r="E103" s="5"/>
      <c r="F103" s="165">
        <v>1</v>
      </c>
      <c r="G103" s="142">
        <f t="shared" si="19"/>
        <v>0</v>
      </c>
      <c r="H103" s="5">
        <f t="shared" si="20"/>
        <v>0</v>
      </c>
      <c r="I103" s="64">
        <v>1</v>
      </c>
      <c r="J103" s="142">
        <f t="shared" si="21"/>
        <v>0</v>
      </c>
      <c r="K103" s="5">
        <f t="shared" si="22"/>
        <v>0</v>
      </c>
      <c r="L103" s="64">
        <v>1</v>
      </c>
      <c r="M103" s="142">
        <f t="shared" si="23"/>
        <v>0</v>
      </c>
      <c r="N103" s="52"/>
    </row>
    <row r="104" spans="1:14" ht="22.5">
      <c r="A104" s="50">
        <f t="shared" si="18"/>
        <v>23</v>
      </c>
      <c r="B104" s="74" t="s">
        <v>292</v>
      </c>
      <c r="C104" s="3" t="s">
        <v>84</v>
      </c>
      <c r="D104" s="6"/>
      <c r="E104" s="5"/>
      <c r="F104" s="165">
        <v>1</v>
      </c>
      <c r="G104" s="142">
        <f t="shared" si="19"/>
        <v>0</v>
      </c>
      <c r="H104" s="5">
        <f t="shared" si="20"/>
        <v>0</v>
      </c>
      <c r="I104" s="64">
        <v>1</v>
      </c>
      <c r="J104" s="142">
        <f t="shared" si="21"/>
        <v>0</v>
      </c>
      <c r="K104" s="5">
        <f t="shared" si="22"/>
        <v>0</v>
      </c>
      <c r="L104" s="64">
        <v>1</v>
      </c>
      <c r="M104" s="142">
        <f t="shared" si="23"/>
        <v>0</v>
      </c>
      <c r="N104" s="52"/>
    </row>
    <row r="105" spans="1:14" ht="12">
      <c r="A105" s="50">
        <f t="shared" si="18"/>
        <v>24</v>
      </c>
      <c r="B105" s="74" t="s">
        <v>370</v>
      </c>
      <c r="C105" s="3" t="s">
        <v>18</v>
      </c>
      <c r="D105" s="6"/>
      <c r="E105" s="5"/>
      <c r="F105" s="165">
        <v>1</v>
      </c>
      <c r="G105" s="142">
        <f t="shared" si="19"/>
        <v>0</v>
      </c>
      <c r="H105" s="5">
        <f t="shared" si="20"/>
        <v>0</v>
      </c>
      <c r="I105" s="64">
        <v>1</v>
      </c>
      <c r="J105" s="142">
        <f t="shared" si="21"/>
        <v>0</v>
      </c>
      <c r="K105" s="5">
        <f t="shared" si="22"/>
        <v>0</v>
      </c>
      <c r="L105" s="64">
        <v>1</v>
      </c>
      <c r="M105" s="142">
        <f t="shared" si="23"/>
        <v>0</v>
      </c>
      <c r="N105" s="52"/>
    </row>
    <row r="106" spans="1:14" ht="12">
      <c r="A106" s="50">
        <f t="shared" si="18"/>
        <v>25</v>
      </c>
      <c r="B106" s="74" t="s">
        <v>339</v>
      </c>
      <c r="C106" s="3" t="s">
        <v>18</v>
      </c>
      <c r="D106" s="6"/>
      <c r="E106" s="5"/>
      <c r="F106" s="165">
        <v>1</v>
      </c>
      <c r="G106" s="142">
        <f t="shared" si="19"/>
        <v>0</v>
      </c>
      <c r="H106" s="5">
        <f t="shared" si="20"/>
        <v>0</v>
      </c>
      <c r="I106" s="64">
        <v>1</v>
      </c>
      <c r="J106" s="142">
        <f t="shared" si="21"/>
        <v>0</v>
      </c>
      <c r="K106" s="5">
        <f t="shared" si="22"/>
        <v>0</v>
      </c>
      <c r="L106" s="64">
        <v>1</v>
      </c>
      <c r="M106" s="142">
        <f t="shared" si="23"/>
        <v>0</v>
      </c>
      <c r="N106" s="52"/>
    </row>
    <row r="107" spans="1:14" ht="12">
      <c r="A107" s="50">
        <f t="shared" si="18"/>
        <v>26</v>
      </c>
      <c r="B107" s="74" t="s">
        <v>89</v>
      </c>
      <c r="C107" s="3" t="s">
        <v>18</v>
      </c>
      <c r="D107" s="6"/>
      <c r="E107" s="5"/>
      <c r="F107" s="165">
        <v>1</v>
      </c>
      <c r="G107" s="142">
        <f t="shared" si="19"/>
        <v>0</v>
      </c>
      <c r="H107" s="5">
        <f t="shared" si="20"/>
        <v>0</v>
      </c>
      <c r="I107" s="64">
        <v>1</v>
      </c>
      <c r="J107" s="142">
        <f t="shared" si="21"/>
        <v>0</v>
      </c>
      <c r="K107" s="5">
        <f t="shared" si="22"/>
        <v>0</v>
      </c>
      <c r="L107" s="64">
        <v>1</v>
      </c>
      <c r="M107" s="142">
        <f t="shared" si="23"/>
        <v>0</v>
      </c>
      <c r="N107" s="52"/>
    </row>
    <row r="108" spans="1:14" ht="24">
      <c r="A108" s="50">
        <f t="shared" si="18"/>
        <v>27</v>
      </c>
      <c r="B108" s="74" t="s">
        <v>92</v>
      </c>
      <c r="C108" s="3" t="s">
        <v>18</v>
      </c>
      <c r="D108" s="6"/>
      <c r="E108" s="5"/>
      <c r="F108" s="165">
        <v>1</v>
      </c>
      <c r="G108" s="142">
        <f t="shared" si="19"/>
        <v>0</v>
      </c>
      <c r="H108" s="5">
        <f t="shared" si="20"/>
        <v>0</v>
      </c>
      <c r="I108" s="64">
        <v>1</v>
      </c>
      <c r="J108" s="142">
        <f t="shared" si="21"/>
        <v>0</v>
      </c>
      <c r="K108" s="5">
        <f t="shared" si="22"/>
        <v>0</v>
      </c>
      <c r="L108" s="64">
        <v>1</v>
      </c>
      <c r="M108" s="142">
        <f t="shared" si="23"/>
        <v>0</v>
      </c>
      <c r="N108" s="52"/>
    </row>
    <row r="109" spans="1:14" ht="12">
      <c r="A109" s="50">
        <f t="shared" si="18"/>
        <v>28</v>
      </c>
      <c r="B109" s="74" t="s">
        <v>93</v>
      </c>
      <c r="C109" s="3" t="s">
        <v>18</v>
      </c>
      <c r="D109" s="6"/>
      <c r="E109" s="5"/>
      <c r="F109" s="165">
        <v>1</v>
      </c>
      <c r="G109" s="142">
        <f t="shared" si="19"/>
        <v>0</v>
      </c>
      <c r="H109" s="5">
        <f t="shared" si="20"/>
        <v>0</v>
      </c>
      <c r="I109" s="64">
        <v>1</v>
      </c>
      <c r="J109" s="142">
        <f t="shared" si="21"/>
        <v>0</v>
      </c>
      <c r="K109" s="5">
        <f t="shared" si="22"/>
        <v>0</v>
      </c>
      <c r="L109" s="64">
        <v>1</v>
      </c>
      <c r="M109" s="142">
        <f t="shared" si="23"/>
        <v>0</v>
      </c>
      <c r="N109" s="52"/>
    </row>
    <row r="110" spans="1:14" ht="12">
      <c r="A110" s="50">
        <f t="shared" si="18"/>
        <v>29</v>
      </c>
      <c r="B110" s="74" t="s">
        <v>340</v>
      </c>
      <c r="C110" s="3" t="s">
        <v>18</v>
      </c>
      <c r="D110" s="6"/>
      <c r="E110" s="5"/>
      <c r="F110" s="165">
        <v>1</v>
      </c>
      <c r="G110" s="142">
        <f t="shared" si="19"/>
        <v>0</v>
      </c>
      <c r="H110" s="5">
        <f t="shared" si="20"/>
        <v>0</v>
      </c>
      <c r="I110" s="64">
        <v>1</v>
      </c>
      <c r="J110" s="142">
        <f t="shared" si="21"/>
        <v>0</v>
      </c>
      <c r="K110" s="5">
        <f t="shared" si="22"/>
        <v>0</v>
      </c>
      <c r="L110" s="64">
        <v>1</v>
      </c>
      <c r="M110" s="142">
        <f t="shared" si="23"/>
        <v>0</v>
      </c>
      <c r="N110" s="52"/>
    </row>
    <row r="111" spans="1:14" ht="48">
      <c r="A111" s="50">
        <v>29</v>
      </c>
      <c r="B111" s="74" t="s">
        <v>481</v>
      </c>
      <c r="C111" s="3"/>
      <c r="D111" s="6"/>
      <c r="E111" s="5"/>
      <c r="F111" s="165">
        <v>1</v>
      </c>
      <c r="G111" s="142">
        <f t="shared" si="19"/>
        <v>0</v>
      </c>
      <c r="H111" s="5">
        <f t="shared" si="20"/>
        <v>0</v>
      </c>
      <c r="I111" s="64">
        <v>1</v>
      </c>
      <c r="J111" s="142">
        <f t="shared" si="21"/>
        <v>0</v>
      </c>
      <c r="K111" s="5">
        <f t="shared" si="22"/>
        <v>0</v>
      </c>
      <c r="L111" s="64">
        <v>1</v>
      </c>
      <c r="M111" s="142">
        <f t="shared" si="23"/>
        <v>0</v>
      </c>
      <c r="N111" s="52"/>
    </row>
    <row r="112" spans="1:14" ht="22.5">
      <c r="A112" s="50">
        <v>30</v>
      </c>
      <c r="B112" s="74" t="s">
        <v>365</v>
      </c>
      <c r="C112" s="3" t="s">
        <v>59</v>
      </c>
      <c r="D112" s="6"/>
      <c r="E112" s="5"/>
      <c r="F112" s="165">
        <v>1</v>
      </c>
      <c r="G112" s="142">
        <f t="shared" si="19"/>
        <v>0</v>
      </c>
      <c r="H112" s="5">
        <f t="shared" si="20"/>
        <v>0</v>
      </c>
      <c r="I112" s="64">
        <v>1</v>
      </c>
      <c r="J112" s="142">
        <f t="shared" si="21"/>
        <v>0</v>
      </c>
      <c r="K112" s="5">
        <f t="shared" si="22"/>
        <v>0</v>
      </c>
      <c r="L112" s="64">
        <v>1</v>
      </c>
      <c r="M112" s="142">
        <f t="shared" si="23"/>
        <v>0</v>
      </c>
      <c r="N112" s="52"/>
    </row>
    <row r="113" spans="1:14" ht="22.5">
      <c r="A113" s="50">
        <f t="shared" si="18"/>
        <v>31</v>
      </c>
      <c r="B113" s="74" t="s">
        <v>366</v>
      </c>
      <c r="C113" s="3" t="s">
        <v>59</v>
      </c>
      <c r="D113" s="6"/>
      <c r="E113" s="5"/>
      <c r="F113" s="165">
        <v>1</v>
      </c>
      <c r="G113" s="142">
        <f t="shared" si="19"/>
        <v>0</v>
      </c>
      <c r="H113" s="5">
        <f t="shared" si="20"/>
        <v>0</v>
      </c>
      <c r="I113" s="64">
        <v>1</v>
      </c>
      <c r="J113" s="142">
        <f t="shared" si="21"/>
        <v>0</v>
      </c>
      <c r="K113" s="5">
        <f t="shared" si="22"/>
        <v>0</v>
      </c>
      <c r="L113" s="64">
        <v>1</v>
      </c>
      <c r="M113" s="142">
        <f t="shared" si="23"/>
        <v>0</v>
      </c>
      <c r="N113" s="52"/>
    </row>
    <row r="114" spans="1:14" ht="33.75">
      <c r="A114" s="50">
        <f t="shared" si="18"/>
        <v>32</v>
      </c>
      <c r="B114" s="74" t="s">
        <v>311</v>
      </c>
      <c r="C114" s="34" t="s">
        <v>453</v>
      </c>
      <c r="D114" s="6"/>
      <c r="E114" s="5"/>
      <c r="F114" s="165">
        <v>1</v>
      </c>
      <c r="G114" s="142">
        <f t="shared" si="19"/>
        <v>0</v>
      </c>
      <c r="H114" s="5">
        <f t="shared" si="20"/>
        <v>0</v>
      </c>
      <c r="I114" s="64">
        <v>1</v>
      </c>
      <c r="J114" s="142">
        <f t="shared" si="21"/>
        <v>0</v>
      </c>
      <c r="K114" s="5">
        <f t="shared" si="22"/>
        <v>0</v>
      </c>
      <c r="L114" s="64">
        <v>1</v>
      </c>
      <c r="M114" s="142">
        <f t="shared" si="23"/>
        <v>0</v>
      </c>
      <c r="N114" s="52"/>
    </row>
    <row r="115" spans="1:14" ht="24">
      <c r="A115" s="50">
        <f>A114+1</f>
        <v>33</v>
      </c>
      <c r="B115" s="74" t="s">
        <v>256</v>
      </c>
      <c r="C115" s="3" t="s">
        <v>60</v>
      </c>
      <c r="D115" s="6"/>
      <c r="E115" s="5"/>
      <c r="F115" s="165">
        <v>1</v>
      </c>
      <c r="G115" s="142">
        <f t="shared" si="19"/>
        <v>0</v>
      </c>
      <c r="H115" s="5">
        <f t="shared" si="20"/>
        <v>0</v>
      </c>
      <c r="I115" s="64">
        <v>1</v>
      </c>
      <c r="J115" s="142">
        <f t="shared" si="21"/>
        <v>0</v>
      </c>
      <c r="K115" s="5">
        <f t="shared" si="22"/>
        <v>0</v>
      </c>
      <c r="L115" s="64">
        <v>1</v>
      </c>
      <c r="M115" s="142">
        <f t="shared" si="23"/>
        <v>0</v>
      </c>
      <c r="N115" s="52"/>
    </row>
    <row r="116" spans="1:14" ht="22.5">
      <c r="A116" s="50">
        <f aca="true" t="shared" si="24" ref="A116:A128">A115+1</f>
        <v>34</v>
      </c>
      <c r="B116" s="74" t="s">
        <v>328</v>
      </c>
      <c r="C116" s="3" t="s">
        <v>60</v>
      </c>
      <c r="D116" s="6"/>
      <c r="E116" s="5"/>
      <c r="F116" s="165">
        <v>1</v>
      </c>
      <c r="G116" s="142">
        <f t="shared" si="19"/>
        <v>0</v>
      </c>
      <c r="H116" s="5">
        <f t="shared" si="20"/>
        <v>0</v>
      </c>
      <c r="I116" s="64">
        <v>1</v>
      </c>
      <c r="J116" s="142">
        <f t="shared" si="21"/>
        <v>0</v>
      </c>
      <c r="K116" s="5">
        <f t="shared" si="22"/>
        <v>0</v>
      </c>
      <c r="L116" s="64">
        <v>1</v>
      </c>
      <c r="M116" s="142">
        <f t="shared" si="23"/>
        <v>0</v>
      </c>
      <c r="N116" s="52"/>
    </row>
    <row r="117" spans="1:14" ht="36">
      <c r="A117" s="50">
        <f t="shared" si="24"/>
        <v>35</v>
      </c>
      <c r="B117" s="74" t="s">
        <v>346</v>
      </c>
      <c r="C117" s="34" t="s">
        <v>453</v>
      </c>
      <c r="D117" s="6"/>
      <c r="E117" s="5"/>
      <c r="F117" s="165">
        <v>1</v>
      </c>
      <c r="G117" s="142">
        <f t="shared" si="19"/>
        <v>0</v>
      </c>
      <c r="H117" s="5">
        <f t="shared" si="20"/>
        <v>0</v>
      </c>
      <c r="I117" s="64">
        <v>1</v>
      </c>
      <c r="J117" s="142">
        <f t="shared" si="21"/>
        <v>0</v>
      </c>
      <c r="K117" s="5">
        <f t="shared" si="22"/>
        <v>0</v>
      </c>
      <c r="L117" s="64">
        <v>1</v>
      </c>
      <c r="M117" s="142">
        <f t="shared" si="23"/>
        <v>0</v>
      </c>
      <c r="N117" s="52"/>
    </row>
    <row r="118" spans="1:14" ht="33.75">
      <c r="A118" s="50">
        <f t="shared" si="24"/>
        <v>36</v>
      </c>
      <c r="B118" s="74" t="s">
        <v>348</v>
      </c>
      <c r="C118" s="34" t="s">
        <v>453</v>
      </c>
      <c r="D118" s="6"/>
      <c r="E118" s="5"/>
      <c r="F118" s="165">
        <v>1</v>
      </c>
      <c r="G118" s="142">
        <f t="shared" si="19"/>
        <v>0</v>
      </c>
      <c r="H118" s="5">
        <f t="shared" si="20"/>
        <v>0</v>
      </c>
      <c r="I118" s="64">
        <v>1</v>
      </c>
      <c r="J118" s="142">
        <f t="shared" si="21"/>
        <v>0</v>
      </c>
      <c r="K118" s="5">
        <f t="shared" si="22"/>
        <v>0</v>
      </c>
      <c r="L118" s="64">
        <v>1</v>
      </c>
      <c r="M118" s="142">
        <f t="shared" si="23"/>
        <v>0</v>
      </c>
      <c r="N118" s="52"/>
    </row>
    <row r="119" spans="1:14" ht="22.5">
      <c r="A119" s="50">
        <f t="shared" si="24"/>
        <v>37</v>
      </c>
      <c r="B119" s="74" t="s">
        <v>357</v>
      </c>
      <c r="C119" s="3" t="s">
        <v>61</v>
      </c>
      <c r="D119" s="6"/>
      <c r="E119" s="5"/>
      <c r="F119" s="165">
        <v>1</v>
      </c>
      <c r="G119" s="142">
        <f t="shared" si="19"/>
        <v>0</v>
      </c>
      <c r="H119" s="5">
        <f t="shared" si="20"/>
        <v>0</v>
      </c>
      <c r="I119" s="64">
        <v>1</v>
      </c>
      <c r="J119" s="142">
        <f t="shared" si="21"/>
        <v>0</v>
      </c>
      <c r="K119" s="5">
        <f t="shared" si="22"/>
        <v>0</v>
      </c>
      <c r="L119" s="64">
        <v>1</v>
      </c>
      <c r="M119" s="142">
        <f t="shared" si="23"/>
        <v>0</v>
      </c>
      <c r="N119" s="52"/>
    </row>
    <row r="120" spans="1:14" ht="22.5">
      <c r="A120" s="50">
        <f t="shared" si="24"/>
        <v>38</v>
      </c>
      <c r="B120" s="74" t="s">
        <v>65</v>
      </c>
      <c r="C120" s="3" t="s">
        <v>62</v>
      </c>
      <c r="D120" s="6"/>
      <c r="E120" s="5"/>
      <c r="F120" s="165">
        <v>1</v>
      </c>
      <c r="G120" s="142">
        <f t="shared" si="19"/>
        <v>0</v>
      </c>
      <c r="H120" s="5">
        <f t="shared" si="20"/>
        <v>0</v>
      </c>
      <c r="I120" s="64">
        <v>1</v>
      </c>
      <c r="J120" s="142">
        <f t="shared" si="21"/>
        <v>0</v>
      </c>
      <c r="K120" s="5">
        <f t="shared" si="22"/>
        <v>0</v>
      </c>
      <c r="L120" s="64">
        <v>1</v>
      </c>
      <c r="M120" s="142">
        <f t="shared" si="23"/>
        <v>0</v>
      </c>
      <c r="N120" s="52"/>
    </row>
    <row r="121" spans="1:14" ht="36">
      <c r="A121" s="50">
        <f t="shared" si="24"/>
        <v>39</v>
      </c>
      <c r="B121" s="74" t="s">
        <v>343</v>
      </c>
      <c r="C121" s="34" t="s">
        <v>453</v>
      </c>
      <c r="D121" s="6"/>
      <c r="E121" s="5"/>
      <c r="F121" s="165">
        <v>1</v>
      </c>
      <c r="G121" s="142">
        <f t="shared" si="19"/>
        <v>0</v>
      </c>
      <c r="H121" s="5">
        <f t="shared" si="20"/>
        <v>0</v>
      </c>
      <c r="I121" s="64">
        <v>1</v>
      </c>
      <c r="J121" s="142">
        <f t="shared" si="21"/>
        <v>0</v>
      </c>
      <c r="K121" s="5">
        <f t="shared" si="22"/>
        <v>0</v>
      </c>
      <c r="L121" s="64">
        <v>1</v>
      </c>
      <c r="M121" s="142">
        <f t="shared" si="23"/>
        <v>0</v>
      </c>
      <c r="N121" s="52"/>
    </row>
    <row r="122" spans="1:14" ht="12">
      <c r="A122" s="50">
        <f t="shared" si="24"/>
        <v>40</v>
      </c>
      <c r="B122" s="74" t="s">
        <v>0</v>
      </c>
      <c r="C122" s="3" t="s">
        <v>18</v>
      </c>
      <c r="D122" s="6"/>
      <c r="E122" s="5"/>
      <c r="F122" s="165">
        <v>1</v>
      </c>
      <c r="G122" s="142">
        <f t="shared" si="19"/>
        <v>0</v>
      </c>
      <c r="H122" s="5">
        <f t="shared" si="20"/>
        <v>0</v>
      </c>
      <c r="I122" s="64">
        <v>1</v>
      </c>
      <c r="J122" s="142">
        <f t="shared" si="21"/>
        <v>0</v>
      </c>
      <c r="K122" s="5">
        <f t="shared" si="22"/>
        <v>0</v>
      </c>
      <c r="L122" s="64">
        <v>1</v>
      </c>
      <c r="M122" s="142">
        <f t="shared" si="23"/>
        <v>0</v>
      </c>
      <c r="N122" s="52"/>
    </row>
    <row r="123" spans="1:14" ht="12">
      <c r="A123" s="50">
        <f t="shared" si="24"/>
        <v>41</v>
      </c>
      <c r="B123" s="74" t="s">
        <v>260</v>
      </c>
      <c r="C123" s="3" t="s">
        <v>18</v>
      </c>
      <c r="D123" s="6"/>
      <c r="E123" s="5"/>
      <c r="F123" s="165">
        <v>1</v>
      </c>
      <c r="G123" s="142">
        <f t="shared" si="19"/>
        <v>0</v>
      </c>
      <c r="H123" s="5">
        <f t="shared" si="20"/>
        <v>0</v>
      </c>
      <c r="I123" s="64">
        <v>1</v>
      </c>
      <c r="J123" s="142">
        <f t="shared" si="21"/>
        <v>0</v>
      </c>
      <c r="K123" s="5">
        <f t="shared" si="22"/>
        <v>0</v>
      </c>
      <c r="L123" s="64">
        <v>1</v>
      </c>
      <c r="M123" s="142">
        <f t="shared" si="23"/>
        <v>0</v>
      </c>
      <c r="N123" s="52"/>
    </row>
    <row r="124" spans="1:14" ht="22.5">
      <c r="A124" s="50">
        <f t="shared" si="24"/>
        <v>42</v>
      </c>
      <c r="B124" s="74" t="s">
        <v>127</v>
      </c>
      <c r="C124" s="3" t="s">
        <v>91</v>
      </c>
      <c r="D124" s="6"/>
      <c r="E124" s="5"/>
      <c r="F124" s="165">
        <v>1</v>
      </c>
      <c r="G124" s="142">
        <f t="shared" si="19"/>
        <v>0</v>
      </c>
      <c r="H124" s="5">
        <f t="shared" si="20"/>
        <v>0</v>
      </c>
      <c r="I124" s="64">
        <v>1</v>
      </c>
      <c r="J124" s="142">
        <f t="shared" si="21"/>
        <v>0</v>
      </c>
      <c r="K124" s="5">
        <f t="shared" si="22"/>
        <v>0</v>
      </c>
      <c r="L124" s="64">
        <v>1</v>
      </c>
      <c r="M124" s="142">
        <f t="shared" si="23"/>
        <v>0</v>
      </c>
      <c r="N124" s="52"/>
    </row>
    <row r="125" spans="1:14" ht="24">
      <c r="A125" s="50">
        <f t="shared" si="24"/>
        <v>43</v>
      </c>
      <c r="B125" s="74" t="s">
        <v>322</v>
      </c>
      <c r="C125" s="34" t="s">
        <v>156</v>
      </c>
      <c r="D125" s="6"/>
      <c r="E125" s="5"/>
      <c r="F125" s="165">
        <v>1</v>
      </c>
      <c r="G125" s="142">
        <f t="shared" si="19"/>
        <v>0</v>
      </c>
      <c r="H125" s="5">
        <f t="shared" si="20"/>
        <v>0</v>
      </c>
      <c r="I125" s="64">
        <v>1</v>
      </c>
      <c r="J125" s="142">
        <f t="shared" si="21"/>
        <v>0</v>
      </c>
      <c r="K125" s="5">
        <f t="shared" si="22"/>
        <v>0</v>
      </c>
      <c r="L125" s="64">
        <v>1</v>
      </c>
      <c r="M125" s="142">
        <f t="shared" si="23"/>
        <v>0</v>
      </c>
      <c r="N125" s="52"/>
    </row>
    <row r="126" spans="1:14" ht="36">
      <c r="A126" s="50">
        <f t="shared" si="24"/>
        <v>44</v>
      </c>
      <c r="B126" s="74" t="s">
        <v>475</v>
      </c>
      <c r="C126" s="34" t="s">
        <v>156</v>
      </c>
      <c r="D126" s="6"/>
      <c r="E126" s="5"/>
      <c r="F126" s="165">
        <v>1</v>
      </c>
      <c r="G126" s="142">
        <f t="shared" si="19"/>
        <v>0</v>
      </c>
      <c r="H126" s="5">
        <f t="shared" si="20"/>
        <v>0</v>
      </c>
      <c r="I126" s="64">
        <v>1</v>
      </c>
      <c r="J126" s="142">
        <f t="shared" si="21"/>
        <v>0</v>
      </c>
      <c r="K126" s="5">
        <f t="shared" si="22"/>
        <v>0</v>
      </c>
      <c r="L126" s="64">
        <v>1</v>
      </c>
      <c r="M126" s="142">
        <f t="shared" si="23"/>
        <v>0</v>
      </c>
      <c r="N126" s="52"/>
    </row>
    <row r="127" spans="1:14" ht="25.5" customHeight="1">
      <c r="A127" s="50">
        <f t="shared" si="24"/>
        <v>45</v>
      </c>
      <c r="B127" s="74" t="s">
        <v>441</v>
      </c>
      <c r="C127" s="34" t="s">
        <v>156</v>
      </c>
      <c r="D127" s="6"/>
      <c r="E127" s="5"/>
      <c r="F127" s="165">
        <v>1</v>
      </c>
      <c r="G127" s="142">
        <f t="shared" si="19"/>
        <v>0</v>
      </c>
      <c r="H127" s="5">
        <f t="shared" si="20"/>
        <v>0</v>
      </c>
      <c r="I127" s="64">
        <v>1</v>
      </c>
      <c r="J127" s="142">
        <f t="shared" si="21"/>
        <v>0</v>
      </c>
      <c r="K127" s="5">
        <f t="shared" si="22"/>
        <v>0</v>
      </c>
      <c r="L127" s="64">
        <v>1</v>
      </c>
      <c r="M127" s="142">
        <f t="shared" si="23"/>
        <v>0</v>
      </c>
      <c r="N127" s="52"/>
    </row>
    <row r="128" spans="1:14" ht="24">
      <c r="A128" s="50">
        <f t="shared" si="24"/>
        <v>46</v>
      </c>
      <c r="B128" s="78" t="s">
        <v>66</v>
      </c>
      <c r="C128" s="31"/>
      <c r="D128" s="32"/>
      <c r="E128" s="5"/>
      <c r="F128" s="165">
        <v>1</v>
      </c>
      <c r="G128" s="142">
        <f t="shared" si="19"/>
        <v>0</v>
      </c>
      <c r="H128" s="5">
        <f t="shared" si="20"/>
        <v>0</v>
      </c>
      <c r="I128" s="64">
        <v>1</v>
      </c>
      <c r="J128" s="142">
        <f t="shared" si="21"/>
        <v>0</v>
      </c>
      <c r="K128" s="5">
        <f t="shared" si="22"/>
        <v>0</v>
      </c>
      <c r="L128" s="64">
        <v>1</v>
      </c>
      <c r="M128" s="142">
        <f t="shared" si="23"/>
        <v>0</v>
      </c>
      <c r="N128" s="55"/>
    </row>
    <row r="129" spans="1:14" ht="22.5">
      <c r="A129" s="50"/>
      <c r="B129" s="74" t="s">
        <v>71</v>
      </c>
      <c r="C129" s="3" t="s">
        <v>401</v>
      </c>
      <c r="D129" s="6"/>
      <c r="E129" s="5"/>
      <c r="F129" s="165">
        <v>1</v>
      </c>
      <c r="G129" s="142">
        <f t="shared" si="19"/>
        <v>0</v>
      </c>
      <c r="H129" s="5">
        <f t="shared" si="20"/>
        <v>0</v>
      </c>
      <c r="I129" s="64">
        <v>1</v>
      </c>
      <c r="J129" s="142">
        <f t="shared" si="21"/>
        <v>0</v>
      </c>
      <c r="K129" s="5">
        <f t="shared" si="22"/>
        <v>0</v>
      </c>
      <c r="L129" s="64">
        <v>1</v>
      </c>
      <c r="M129" s="142">
        <f t="shared" si="23"/>
        <v>0</v>
      </c>
      <c r="N129" s="52"/>
    </row>
    <row r="130" spans="1:14" ht="22.5">
      <c r="A130" s="50"/>
      <c r="B130" s="74" t="s">
        <v>72</v>
      </c>
      <c r="C130" s="3" t="s">
        <v>401</v>
      </c>
      <c r="D130" s="6"/>
      <c r="E130" s="5"/>
      <c r="F130" s="165">
        <v>1</v>
      </c>
      <c r="G130" s="142">
        <f t="shared" si="19"/>
        <v>0</v>
      </c>
      <c r="H130" s="5">
        <f t="shared" si="20"/>
        <v>0</v>
      </c>
      <c r="I130" s="64">
        <v>1</v>
      </c>
      <c r="J130" s="142">
        <f t="shared" si="21"/>
        <v>0</v>
      </c>
      <c r="K130" s="5">
        <f t="shared" si="22"/>
        <v>0</v>
      </c>
      <c r="L130" s="64">
        <v>1</v>
      </c>
      <c r="M130" s="142">
        <f t="shared" si="23"/>
        <v>0</v>
      </c>
      <c r="N130" s="52"/>
    </row>
    <row r="131" spans="1:14" ht="22.5">
      <c r="A131" s="50"/>
      <c r="B131" s="74" t="s">
        <v>73</v>
      </c>
      <c r="C131" s="3" t="s">
        <v>402</v>
      </c>
      <c r="D131" s="6"/>
      <c r="E131" s="5"/>
      <c r="F131" s="165">
        <v>1</v>
      </c>
      <c r="G131" s="142">
        <f t="shared" si="19"/>
        <v>0</v>
      </c>
      <c r="H131" s="5">
        <f t="shared" si="20"/>
        <v>0</v>
      </c>
      <c r="I131" s="64">
        <v>1</v>
      </c>
      <c r="J131" s="142">
        <f t="shared" si="21"/>
        <v>0</v>
      </c>
      <c r="K131" s="5">
        <f t="shared" si="22"/>
        <v>0</v>
      </c>
      <c r="L131" s="64">
        <v>1</v>
      </c>
      <c r="M131" s="142">
        <f t="shared" si="23"/>
        <v>0</v>
      </c>
      <c r="N131" s="52"/>
    </row>
    <row r="132" spans="1:14" ht="22.5">
      <c r="A132" s="50"/>
      <c r="B132" s="74" t="s">
        <v>74</v>
      </c>
      <c r="C132" s="3" t="s">
        <v>402</v>
      </c>
      <c r="D132" s="6"/>
      <c r="E132" s="5"/>
      <c r="F132" s="165">
        <v>1</v>
      </c>
      <c r="G132" s="142">
        <f t="shared" si="19"/>
        <v>0</v>
      </c>
      <c r="H132" s="5">
        <f t="shared" si="20"/>
        <v>0</v>
      </c>
      <c r="I132" s="64">
        <v>1</v>
      </c>
      <c r="J132" s="142">
        <f t="shared" si="21"/>
        <v>0</v>
      </c>
      <c r="K132" s="5">
        <f t="shared" si="22"/>
        <v>0</v>
      </c>
      <c r="L132" s="64">
        <v>1</v>
      </c>
      <c r="M132" s="142">
        <f t="shared" si="23"/>
        <v>0</v>
      </c>
      <c r="N132" s="52"/>
    </row>
    <row r="133" spans="1:14" ht="22.5">
      <c r="A133" s="50"/>
      <c r="B133" s="74" t="s">
        <v>75</v>
      </c>
      <c r="C133" s="3" t="s">
        <v>401</v>
      </c>
      <c r="D133" s="6"/>
      <c r="E133" s="5"/>
      <c r="F133" s="165">
        <v>1</v>
      </c>
      <c r="G133" s="142">
        <f t="shared" si="19"/>
        <v>0</v>
      </c>
      <c r="H133" s="5">
        <f t="shared" si="20"/>
        <v>0</v>
      </c>
      <c r="I133" s="64">
        <v>1</v>
      </c>
      <c r="J133" s="142">
        <f t="shared" si="21"/>
        <v>0</v>
      </c>
      <c r="K133" s="5">
        <f t="shared" si="22"/>
        <v>0</v>
      </c>
      <c r="L133" s="64">
        <v>1</v>
      </c>
      <c r="M133" s="142">
        <f t="shared" si="23"/>
        <v>0</v>
      </c>
      <c r="N133" s="52"/>
    </row>
    <row r="134" spans="1:14" ht="22.5">
      <c r="A134" s="50"/>
      <c r="B134" s="74" t="s">
        <v>76</v>
      </c>
      <c r="C134" s="3" t="s">
        <v>401</v>
      </c>
      <c r="D134" s="6"/>
      <c r="E134" s="5"/>
      <c r="F134" s="165">
        <v>1</v>
      </c>
      <c r="G134" s="142">
        <f t="shared" si="19"/>
        <v>0</v>
      </c>
      <c r="H134" s="5">
        <f t="shared" si="20"/>
        <v>0</v>
      </c>
      <c r="I134" s="64">
        <v>1</v>
      </c>
      <c r="J134" s="142">
        <f t="shared" si="21"/>
        <v>0</v>
      </c>
      <c r="K134" s="5">
        <f t="shared" si="22"/>
        <v>0</v>
      </c>
      <c r="L134" s="64">
        <v>1</v>
      </c>
      <c r="M134" s="142">
        <f t="shared" si="23"/>
        <v>0</v>
      </c>
      <c r="N134" s="52"/>
    </row>
    <row r="135" spans="1:14" ht="22.5">
      <c r="A135" s="50"/>
      <c r="B135" s="74" t="s">
        <v>77</v>
      </c>
      <c r="C135" s="3" t="s">
        <v>401</v>
      </c>
      <c r="D135" s="6"/>
      <c r="E135" s="5"/>
      <c r="F135" s="165">
        <v>1</v>
      </c>
      <c r="G135" s="142">
        <f t="shared" si="19"/>
        <v>0</v>
      </c>
      <c r="H135" s="5">
        <f t="shared" si="20"/>
        <v>0</v>
      </c>
      <c r="I135" s="64">
        <v>1</v>
      </c>
      <c r="J135" s="142">
        <f t="shared" si="21"/>
        <v>0</v>
      </c>
      <c r="K135" s="5">
        <f t="shared" si="22"/>
        <v>0</v>
      </c>
      <c r="L135" s="64">
        <v>1</v>
      </c>
      <c r="M135" s="142">
        <f t="shared" si="23"/>
        <v>0</v>
      </c>
      <c r="N135" s="52"/>
    </row>
    <row r="136" spans="1:14" ht="22.5">
      <c r="A136" s="50"/>
      <c r="B136" s="74" t="s">
        <v>78</v>
      </c>
      <c r="C136" s="3" t="s">
        <v>403</v>
      </c>
      <c r="D136" s="6"/>
      <c r="E136" s="5"/>
      <c r="F136" s="165">
        <v>1</v>
      </c>
      <c r="G136" s="142">
        <f t="shared" si="19"/>
        <v>0</v>
      </c>
      <c r="H136" s="5">
        <f t="shared" si="20"/>
        <v>0</v>
      </c>
      <c r="I136" s="64">
        <v>1</v>
      </c>
      <c r="J136" s="142">
        <f t="shared" si="21"/>
        <v>0</v>
      </c>
      <c r="K136" s="5">
        <f t="shared" si="22"/>
        <v>0</v>
      </c>
      <c r="L136" s="64">
        <v>1</v>
      </c>
      <c r="M136" s="142">
        <f t="shared" si="23"/>
        <v>0</v>
      </c>
      <c r="N136" s="52"/>
    </row>
    <row r="137" spans="1:14" ht="22.5">
      <c r="A137" s="50"/>
      <c r="B137" s="74" t="s">
        <v>79</v>
      </c>
      <c r="C137" s="3" t="s">
        <v>401</v>
      </c>
      <c r="D137" s="6"/>
      <c r="E137" s="5"/>
      <c r="F137" s="165">
        <v>1</v>
      </c>
      <c r="G137" s="142">
        <f t="shared" si="19"/>
        <v>0</v>
      </c>
      <c r="H137" s="5">
        <f t="shared" si="20"/>
        <v>0</v>
      </c>
      <c r="I137" s="64">
        <v>1</v>
      </c>
      <c r="J137" s="142">
        <f t="shared" si="21"/>
        <v>0</v>
      </c>
      <c r="K137" s="5">
        <f t="shared" si="22"/>
        <v>0</v>
      </c>
      <c r="L137" s="64">
        <v>1</v>
      </c>
      <c r="M137" s="142">
        <f t="shared" si="23"/>
        <v>0</v>
      </c>
      <c r="N137" s="52"/>
    </row>
    <row r="138" spans="1:14" ht="22.5">
      <c r="A138" s="50"/>
      <c r="B138" s="74" t="s">
        <v>80</v>
      </c>
      <c r="C138" s="3" t="s">
        <v>403</v>
      </c>
      <c r="D138" s="6"/>
      <c r="E138" s="5"/>
      <c r="F138" s="165">
        <v>1</v>
      </c>
      <c r="G138" s="142">
        <f t="shared" si="19"/>
        <v>0</v>
      </c>
      <c r="H138" s="5">
        <f t="shared" si="20"/>
        <v>0</v>
      </c>
      <c r="I138" s="64">
        <v>1</v>
      </c>
      <c r="J138" s="142">
        <f t="shared" si="21"/>
        <v>0</v>
      </c>
      <c r="K138" s="5">
        <f t="shared" si="22"/>
        <v>0</v>
      </c>
      <c r="L138" s="64">
        <v>1</v>
      </c>
      <c r="M138" s="142">
        <f t="shared" si="23"/>
        <v>0</v>
      </c>
      <c r="N138" s="52"/>
    </row>
    <row r="139" spans="1:14" ht="33.75">
      <c r="A139" s="50"/>
      <c r="B139" s="74" t="s">
        <v>81</v>
      </c>
      <c r="C139" s="3" t="s">
        <v>82</v>
      </c>
      <c r="D139" s="6"/>
      <c r="E139" s="5"/>
      <c r="F139" s="165">
        <v>1</v>
      </c>
      <c r="G139" s="142">
        <f t="shared" si="19"/>
        <v>0</v>
      </c>
      <c r="H139" s="5">
        <f t="shared" si="20"/>
        <v>0</v>
      </c>
      <c r="I139" s="64">
        <v>1</v>
      </c>
      <c r="J139" s="142">
        <f t="shared" si="21"/>
        <v>0</v>
      </c>
      <c r="K139" s="5">
        <f t="shared" si="22"/>
        <v>0</v>
      </c>
      <c r="L139" s="64">
        <v>1</v>
      </c>
      <c r="M139" s="142">
        <f t="shared" si="23"/>
        <v>0</v>
      </c>
      <c r="N139" s="52"/>
    </row>
    <row r="140" spans="1:14" ht="45">
      <c r="A140" s="50">
        <v>47</v>
      </c>
      <c r="B140" s="74" t="s">
        <v>248</v>
      </c>
      <c r="C140" s="3" t="s">
        <v>335</v>
      </c>
      <c r="D140" s="27"/>
      <c r="E140" s="5"/>
      <c r="F140" s="165">
        <v>1</v>
      </c>
      <c r="G140" s="142">
        <f t="shared" si="19"/>
        <v>0</v>
      </c>
      <c r="H140" s="5">
        <f t="shared" si="20"/>
        <v>0</v>
      </c>
      <c r="I140" s="64">
        <v>1</v>
      </c>
      <c r="J140" s="142">
        <f t="shared" si="21"/>
        <v>0</v>
      </c>
      <c r="K140" s="5">
        <f t="shared" si="22"/>
        <v>0</v>
      </c>
      <c r="L140" s="64">
        <v>1</v>
      </c>
      <c r="M140" s="142">
        <f t="shared" si="23"/>
        <v>0</v>
      </c>
      <c r="N140" s="54"/>
    </row>
    <row r="141" spans="1:36" s="10" customFormat="1" ht="12">
      <c r="A141" s="33"/>
      <c r="B141" s="79" t="s">
        <v>147</v>
      </c>
      <c r="C141" s="69"/>
      <c r="D141" s="15">
        <f>ROUNDDOWN(SUM(D82:D140),2)</f>
        <v>0</v>
      </c>
      <c r="E141" s="15">
        <f>ROUNDDOWN(SUM(E82:E140),2)</f>
        <v>0</v>
      </c>
      <c r="F141" s="15"/>
      <c r="G141" s="15">
        <f>ROUNDDOWN(SUM(G82:G140),0)</f>
        <v>0</v>
      </c>
      <c r="H141" s="15">
        <f>ROUNDDOWN(SUM(H82:H140),2)</f>
        <v>0</v>
      </c>
      <c r="I141" s="15"/>
      <c r="J141" s="15">
        <f>ROUNDDOWN(SUM(J82:J140),0)</f>
        <v>0</v>
      </c>
      <c r="K141" s="15">
        <f>ROUNDDOWN(SUM(K82:K140),2)</f>
        <v>0</v>
      </c>
      <c r="L141" s="15"/>
      <c r="M141" s="15">
        <f>ROUNDDOWN(SUM(M82:M140),0)</f>
        <v>0</v>
      </c>
      <c r="N141" s="56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</row>
    <row r="142" spans="1:14" ht="12">
      <c r="A142" s="84" t="s">
        <v>384</v>
      </c>
      <c r="B142" s="85"/>
      <c r="C142" s="86"/>
      <c r="D142" s="87"/>
      <c r="E142" s="88"/>
      <c r="F142" s="89"/>
      <c r="G142" s="90"/>
      <c r="H142" s="88"/>
      <c r="I142" s="89"/>
      <c r="J142" s="90"/>
      <c r="K142" s="88"/>
      <c r="L142" s="89"/>
      <c r="M142" s="90"/>
      <c r="N142" s="91"/>
    </row>
    <row r="143" spans="1:14" ht="36">
      <c r="A143" s="72">
        <v>1</v>
      </c>
      <c r="B143" s="137" t="s">
        <v>85</v>
      </c>
      <c r="C143" s="162" t="s">
        <v>243</v>
      </c>
      <c r="D143" s="163"/>
      <c r="E143" s="164"/>
      <c r="F143" s="165">
        <v>1</v>
      </c>
      <c r="G143" s="142">
        <f>ROUND(E143*F143,0)</f>
        <v>0</v>
      </c>
      <c r="H143" s="164">
        <f>G143</f>
        <v>0</v>
      </c>
      <c r="I143" s="141">
        <v>1</v>
      </c>
      <c r="J143" s="142">
        <f>ROUND(H143*I143,0)</f>
        <v>0</v>
      </c>
      <c r="K143" s="164">
        <f>J143</f>
        <v>0</v>
      </c>
      <c r="L143" s="165">
        <v>1</v>
      </c>
      <c r="M143" s="142">
        <f>ROUND(K143*L143,0)</f>
        <v>0</v>
      </c>
      <c r="N143" s="166"/>
    </row>
    <row r="144" spans="1:14" ht="36">
      <c r="A144" s="71">
        <f>A143+1</f>
        <v>2</v>
      </c>
      <c r="B144" s="75" t="s">
        <v>461</v>
      </c>
      <c r="C144" s="3" t="s">
        <v>243</v>
      </c>
      <c r="D144" s="6"/>
      <c r="E144" s="5"/>
      <c r="F144" s="165">
        <v>1</v>
      </c>
      <c r="G144" s="142">
        <f aca="true" t="shared" si="25" ref="G144:G207">ROUND(E144*F144,0)</f>
        <v>0</v>
      </c>
      <c r="H144" s="5">
        <f aca="true" t="shared" si="26" ref="H144:H214">G144</f>
        <v>0</v>
      </c>
      <c r="I144" s="64">
        <v>1</v>
      </c>
      <c r="J144" s="142">
        <f aca="true" t="shared" si="27" ref="J144:J207">ROUND(H144*I144,0)</f>
        <v>0</v>
      </c>
      <c r="K144" s="5">
        <f>J144</f>
        <v>0</v>
      </c>
      <c r="L144" s="63">
        <v>1</v>
      </c>
      <c r="M144" s="142">
        <f aca="true" t="shared" si="28" ref="M144:M207">ROUND(K144*L144,0)</f>
        <v>0</v>
      </c>
      <c r="N144" s="52"/>
    </row>
    <row r="145" spans="1:14" ht="24">
      <c r="A145" s="71">
        <f aca="true" t="shared" si="29" ref="A145:A172">A144+1</f>
        <v>3</v>
      </c>
      <c r="B145" s="74" t="s">
        <v>341</v>
      </c>
      <c r="C145" s="3" t="s">
        <v>134</v>
      </c>
      <c r="D145" s="6"/>
      <c r="E145" s="5"/>
      <c r="F145" s="165">
        <v>1</v>
      </c>
      <c r="G145" s="142">
        <f t="shared" si="25"/>
        <v>0</v>
      </c>
      <c r="H145" s="5">
        <f t="shared" si="26"/>
        <v>0</v>
      </c>
      <c r="I145" s="64">
        <v>1</v>
      </c>
      <c r="J145" s="142">
        <f t="shared" si="27"/>
        <v>0</v>
      </c>
      <c r="K145" s="5">
        <f aca="true" t="shared" si="30" ref="K145:K208">J145</f>
        <v>0</v>
      </c>
      <c r="L145" s="63">
        <v>1</v>
      </c>
      <c r="M145" s="142">
        <f t="shared" si="28"/>
        <v>0</v>
      </c>
      <c r="N145" s="52"/>
    </row>
    <row r="146" spans="1:14" ht="36">
      <c r="A146" s="71">
        <f t="shared" si="29"/>
        <v>4</v>
      </c>
      <c r="B146" s="74" t="s">
        <v>367</v>
      </c>
      <c r="C146" s="3" t="s">
        <v>88</v>
      </c>
      <c r="D146" s="6"/>
      <c r="E146" s="5"/>
      <c r="F146" s="165">
        <v>1</v>
      </c>
      <c r="G146" s="142">
        <f t="shared" si="25"/>
        <v>0</v>
      </c>
      <c r="H146" s="5">
        <f t="shared" si="26"/>
        <v>0</v>
      </c>
      <c r="I146" s="64">
        <v>1</v>
      </c>
      <c r="J146" s="142">
        <f t="shared" si="27"/>
        <v>0</v>
      </c>
      <c r="K146" s="5">
        <f t="shared" si="30"/>
        <v>0</v>
      </c>
      <c r="L146" s="63">
        <v>1</v>
      </c>
      <c r="M146" s="142">
        <f t="shared" si="28"/>
        <v>0</v>
      </c>
      <c r="N146" s="52"/>
    </row>
    <row r="147" spans="1:14" ht="24">
      <c r="A147" s="71">
        <f t="shared" si="29"/>
        <v>5</v>
      </c>
      <c r="B147" s="74" t="s">
        <v>96</v>
      </c>
      <c r="C147" s="3" t="s">
        <v>87</v>
      </c>
      <c r="D147" s="6"/>
      <c r="E147" s="5"/>
      <c r="F147" s="165">
        <v>1</v>
      </c>
      <c r="G147" s="142">
        <f t="shared" si="25"/>
        <v>0</v>
      </c>
      <c r="H147" s="5">
        <f t="shared" si="26"/>
        <v>0</v>
      </c>
      <c r="I147" s="64">
        <v>1</v>
      </c>
      <c r="J147" s="142">
        <f t="shared" si="27"/>
        <v>0</v>
      </c>
      <c r="K147" s="5">
        <f t="shared" si="30"/>
        <v>0</v>
      </c>
      <c r="L147" s="63">
        <v>1</v>
      </c>
      <c r="M147" s="142">
        <f t="shared" si="28"/>
        <v>0</v>
      </c>
      <c r="N147" s="52"/>
    </row>
    <row r="148" spans="1:14" ht="24">
      <c r="A148" s="71">
        <f t="shared" si="29"/>
        <v>6</v>
      </c>
      <c r="B148" s="74" t="s">
        <v>389</v>
      </c>
      <c r="C148" s="3" t="s">
        <v>88</v>
      </c>
      <c r="D148" s="6"/>
      <c r="E148" s="5"/>
      <c r="F148" s="165">
        <v>1</v>
      </c>
      <c r="G148" s="142">
        <f t="shared" si="25"/>
        <v>0</v>
      </c>
      <c r="H148" s="5">
        <f t="shared" si="26"/>
        <v>0</v>
      </c>
      <c r="I148" s="64">
        <v>1</v>
      </c>
      <c r="J148" s="142">
        <f t="shared" si="27"/>
        <v>0</v>
      </c>
      <c r="K148" s="5">
        <f t="shared" si="30"/>
        <v>0</v>
      </c>
      <c r="L148" s="63">
        <v>1</v>
      </c>
      <c r="M148" s="142">
        <f t="shared" si="28"/>
        <v>0</v>
      </c>
      <c r="N148" s="52"/>
    </row>
    <row r="149" spans="1:14" ht="24">
      <c r="A149" s="71">
        <f t="shared" si="29"/>
        <v>7</v>
      </c>
      <c r="B149" s="74" t="s">
        <v>119</v>
      </c>
      <c r="C149" s="3" t="s">
        <v>88</v>
      </c>
      <c r="D149" s="6"/>
      <c r="E149" s="5"/>
      <c r="F149" s="165">
        <v>1</v>
      </c>
      <c r="G149" s="142">
        <f t="shared" si="25"/>
        <v>0</v>
      </c>
      <c r="H149" s="5">
        <f t="shared" si="26"/>
        <v>0</v>
      </c>
      <c r="I149" s="64">
        <v>1</v>
      </c>
      <c r="J149" s="142">
        <f t="shared" si="27"/>
        <v>0</v>
      </c>
      <c r="K149" s="5">
        <f t="shared" si="30"/>
        <v>0</v>
      </c>
      <c r="L149" s="63">
        <v>1</v>
      </c>
      <c r="M149" s="142">
        <f t="shared" si="28"/>
        <v>0</v>
      </c>
      <c r="N149" s="52"/>
    </row>
    <row r="150" spans="1:14" ht="12">
      <c r="A150" s="71">
        <f t="shared" si="29"/>
        <v>8</v>
      </c>
      <c r="B150" s="74" t="s">
        <v>90</v>
      </c>
      <c r="C150" s="3" t="s">
        <v>18</v>
      </c>
      <c r="D150" s="6"/>
      <c r="E150" s="5"/>
      <c r="F150" s="165">
        <v>1</v>
      </c>
      <c r="G150" s="142">
        <f t="shared" si="25"/>
        <v>0</v>
      </c>
      <c r="H150" s="5">
        <f t="shared" si="26"/>
        <v>0</v>
      </c>
      <c r="I150" s="64">
        <v>1</v>
      </c>
      <c r="J150" s="142">
        <f t="shared" si="27"/>
        <v>0</v>
      </c>
      <c r="K150" s="5">
        <f t="shared" si="30"/>
        <v>0</v>
      </c>
      <c r="L150" s="63">
        <v>1</v>
      </c>
      <c r="M150" s="142">
        <f t="shared" si="28"/>
        <v>0</v>
      </c>
      <c r="N150" s="52"/>
    </row>
    <row r="151" spans="1:14" ht="36">
      <c r="A151" s="71">
        <f t="shared" si="29"/>
        <v>9</v>
      </c>
      <c r="B151" s="74" t="s">
        <v>446</v>
      </c>
      <c r="C151" s="3" t="s">
        <v>243</v>
      </c>
      <c r="D151" s="6"/>
      <c r="E151" s="5"/>
      <c r="F151" s="165">
        <v>1</v>
      </c>
      <c r="G151" s="142">
        <f t="shared" si="25"/>
        <v>0</v>
      </c>
      <c r="H151" s="5">
        <f t="shared" si="26"/>
        <v>0</v>
      </c>
      <c r="I151" s="64">
        <v>1</v>
      </c>
      <c r="J151" s="142">
        <f t="shared" si="27"/>
        <v>0</v>
      </c>
      <c r="K151" s="5">
        <f t="shared" si="30"/>
        <v>0</v>
      </c>
      <c r="L151" s="63">
        <v>1</v>
      </c>
      <c r="M151" s="142">
        <f t="shared" si="28"/>
        <v>0</v>
      </c>
      <c r="N151" s="52"/>
    </row>
    <row r="152" spans="1:14" ht="24">
      <c r="A152" s="71">
        <f t="shared" si="29"/>
        <v>10</v>
      </c>
      <c r="B152" s="94" t="s">
        <v>396</v>
      </c>
      <c r="C152" s="3" t="s">
        <v>391</v>
      </c>
      <c r="D152" s="6"/>
      <c r="E152" s="5"/>
      <c r="F152" s="165">
        <v>1</v>
      </c>
      <c r="G152" s="142">
        <f t="shared" si="25"/>
        <v>0</v>
      </c>
      <c r="H152" s="5">
        <f t="shared" si="26"/>
        <v>0</v>
      </c>
      <c r="I152" s="64">
        <v>1</v>
      </c>
      <c r="J152" s="142">
        <f t="shared" si="27"/>
        <v>0</v>
      </c>
      <c r="K152" s="5">
        <f t="shared" si="30"/>
        <v>0</v>
      </c>
      <c r="L152" s="63">
        <v>1</v>
      </c>
      <c r="M152" s="142">
        <f t="shared" si="28"/>
        <v>0</v>
      </c>
      <c r="N152" s="52"/>
    </row>
    <row r="153" spans="1:14" ht="12">
      <c r="A153" s="71">
        <f t="shared" si="29"/>
        <v>11</v>
      </c>
      <c r="B153" s="74" t="s">
        <v>368</v>
      </c>
      <c r="C153" s="3" t="s">
        <v>18</v>
      </c>
      <c r="D153" s="6"/>
      <c r="E153" s="5"/>
      <c r="F153" s="165">
        <v>1</v>
      </c>
      <c r="G153" s="142">
        <f t="shared" si="25"/>
        <v>0</v>
      </c>
      <c r="H153" s="5">
        <f t="shared" si="26"/>
        <v>0</v>
      </c>
      <c r="I153" s="64">
        <v>1</v>
      </c>
      <c r="J153" s="142">
        <f t="shared" si="27"/>
        <v>0</v>
      </c>
      <c r="K153" s="5">
        <f t="shared" si="30"/>
        <v>0</v>
      </c>
      <c r="L153" s="63">
        <v>1</v>
      </c>
      <c r="M153" s="142">
        <f t="shared" si="28"/>
        <v>0</v>
      </c>
      <c r="N153" s="52"/>
    </row>
    <row r="154" spans="1:14" ht="33.75">
      <c r="A154" s="71">
        <v>12</v>
      </c>
      <c r="B154" s="74" t="s">
        <v>105</v>
      </c>
      <c r="C154" s="34" t="s">
        <v>454</v>
      </c>
      <c r="D154" s="6"/>
      <c r="E154" s="5"/>
      <c r="F154" s="165">
        <v>1</v>
      </c>
      <c r="G154" s="142">
        <f t="shared" si="25"/>
        <v>0</v>
      </c>
      <c r="H154" s="5">
        <f t="shared" si="26"/>
        <v>0</v>
      </c>
      <c r="I154" s="64">
        <v>1</v>
      </c>
      <c r="J154" s="142">
        <f t="shared" si="27"/>
        <v>0</v>
      </c>
      <c r="K154" s="5">
        <f t="shared" si="30"/>
        <v>0</v>
      </c>
      <c r="L154" s="63">
        <v>1</v>
      </c>
      <c r="M154" s="142">
        <f t="shared" si="28"/>
        <v>0</v>
      </c>
      <c r="N154" s="52"/>
    </row>
    <row r="155" spans="1:14" ht="33.75">
      <c r="A155" s="71">
        <f t="shared" si="29"/>
        <v>13</v>
      </c>
      <c r="B155" s="74" t="s">
        <v>344</v>
      </c>
      <c r="C155" s="3" t="s">
        <v>345</v>
      </c>
      <c r="D155" s="6"/>
      <c r="E155" s="5"/>
      <c r="F155" s="165">
        <v>1</v>
      </c>
      <c r="G155" s="142">
        <f t="shared" si="25"/>
        <v>0</v>
      </c>
      <c r="H155" s="5">
        <f t="shared" si="26"/>
        <v>0</v>
      </c>
      <c r="I155" s="64">
        <v>1</v>
      </c>
      <c r="J155" s="142">
        <f t="shared" si="27"/>
        <v>0</v>
      </c>
      <c r="K155" s="5">
        <f t="shared" si="30"/>
        <v>0</v>
      </c>
      <c r="L155" s="63">
        <v>1</v>
      </c>
      <c r="M155" s="142">
        <f t="shared" si="28"/>
        <v>0</v>
      </c>
      <c r="N155" s="52"/>
    </row>
    <row r="156" spans="1:14" ht="22.5">
      <c r="A156" s="71">
        <f t="shared" si="29"/>
        <v>14</v>
      </c>
      <c r="B156" s="74" t="s">
        <v>95</v>
      </c>
      <c r="C156" s="3" t="s">
        <v>87</v>
      </c>
      <c r="D156" s="6"/>
      <c r="E156" s="5"/>
      <c r="F156" s="165">
        <v>1</v>
      </c>
      <c r="G156" s="142">
        <f t="shared" si="25"/>
        <v>0</v>
      </c>
      <c r="H156" s="5">
        <f t="shared" si="26"/>
        <v>0</v>
      </c>
      <c r="I156" s="64">
        <v>1</v>
      </c>
      <c r="J156" s="142">
        <f t="shared" si="27"/>
        <v>0</v>
      </c>
      <c r="K156" s="5">
        <f t="shared" si="30"/>
        <v>0</v>
      </c>
      <c r="L156" s="63">
        <v>1</v>
      </c>
      <c r="M156" s="142">
        <f t="shared" si="28"/>
        <v>0</v>
      </c>
      <c r="N156" s="52"/>
    </row>
    <row r="157" spans="1:14" ht="22.5">
      <c r="A157" s="71">
        <f t="shared" si="29"/>
        <v>15</v>
      </c>
      <c r="B157" s="74" t="s">
        <v>347</v>
      </c>
      <c r="C157" s="3" t="s">
        <v>87</v>
      </c>
      <c r="D157" s="6"/>
      <c r="E157" s="5"/>
      <c r="F157" s="165">
        <v>1</v>
      </c>
      <c r="G157" s="142">
        <f t="shared" si="25"/>
        <v>0</v>
      </c>
      <c r="H157" s="5">
        <f t="shared" si="26"/>
        <v>0</v>
      </c>
      <c r="I157" s="64">
        <v>1</v>
      </c>
      <c r="J157" s="142">
        <f t="shared" si="27"/>
        <v>0</v>
      </c>
      <c r="K157" s="5">
        <f t="shared" si="30"/>
        <v>0</v>
      </c>
      <c r="L157" s="63">
        <v>1</v>
      </c>
      <c r="M157" s="142">
        <f t="shared" si="28"/>
        <v>0</v>
      </c>
      <c r="N157" s="52"/>
    </row>
    <row r="158" spans="1:14" ht="24">
      <c r="A158" s="71">
        <f t="shared" si="29"/>
        <v>16</v>
      </c>
      <c r="B158" s="74" t="s">
        <v>324</v>
      </c>
      <c r="C158" s="3" t="s">
        <v>87</v>
      </c>
      <c r="D158" s="6"/>
      <c r="E158" s="5"/>
      <c r="F158" s="165">
        <v>1</v>
      </c>
      <c r="G158" s="142">
        <f t="shared" si="25"/>
        <v>0</v>
      </c>
      <c r="H158" s="5">
        <f t="shared" si="26"/>
        <v>0</v>
      </c>
      <c r="I158" s="64">
        <v>1</v>
      </c>
      <c r="J158" s="142">
        <f t="shared" si="27"/>
        <v>0</v>
      </c>
      <c r="K158" s="5">
        <f t="shared" si="30"/>
        <v>0</v>
      </c>
      <c r="L158" s="63">
        <v>1</v>
      </c>
      <c r="M158" s="142">
        <f t="shared" si="28"/>
        <v>0</v>
      </c>
      <c r="N158" s="52"/>
    </row>
    <row r="159" spans="1:14" ht="27" customHeight="1">
      <c r="A159" s="71">
        <f t="shared" si="29"/>
        <v>17</v>
      </c>
      <c r="B159" s="74" t="s">
        <v>449</v>
      </c>
      <c r="C159" s="3" t="s">
        <v>87</v>
      </c>
      <c r="D159" s="6"/>
      <c r="E159" s="5"/>
      <c r="F159" s="165">
        <v>1</v>
      </c>
      <c r="G159" s="142">
        <f t="shared" si="25"/>
        <v>0</v>
      </c>
      <c r="H159" s="5">
        <f t="shared" si="26"/>
        <v>0</v>
      </c>
      <c r="I159" s="64">
        <v>1</v>
      </c>
      <c r="J159" s="142">
        <f t="shared" si="27"/>
        <v>0</v>
      </c>
      <c r="K159" s="5">
        <f t="shared" si="30"/>
        <v>0</v>
      </c>
      <c r="L159" s="63">
        <v>1</v>
      </c>
      <c r="M159" s="142">
        <f t="shared" si="28"/>
        <v>0</v>
      </c>
      <c r="N159" s="52"/>
    </row>
    <row r="160" spans="1:14" ht="45">
      <c r="A160" s="71">
        <f t="shared" si="29"/>
        <v>18</v>
      </c>
      <c r="B160" s="74" t="s">
        <v>97</v>
      </c>
      <c r="C160" s="3" t="s">
        <v>94</v>
      </c>
      <c r="D160" s="6"/>
      <c r="E160" s="5"/>
      <c r="F160" s="165">
        <v>1</v>
      </c>
      <c r="G160" s="142">
        <f t="shared" si="25"/>
        <v>0</v>
      </c>
      <c r="H160" s="5">
        <f t="shared" si="26"/>
        <v>0</v>
      </c>
      <c r="I160" s="64">
        <v>1</v>
      </c>
      <c r="J160" s="142">
        <f t="shared" si="27"/>
        <v>0</v>
      </c>
      <c r="K160" s="5">
        <f t="shared" si="30"/>
        <v>0</v>
      </c>
      <c r="L160" s="63">
        <v>1</v>
      </c>
      <c r="M160" s="142">
        <f t="shared" si="28"/>
        <v>0</v>
      </c>
      <c r="N160" s="52"/>
    </row>
    <row r="161" spans="1:14" ht="45">
      <c r="A161" s="71">
        <f>A160+1</f>
        <v>19</v>
      </c>
      <c r="B161" s="75" t="s">
        <v>318</v>
      </c>
      <c r="C161" s="2" t="s">
        <v>94</v>
      </c>
      <c r="D161" s="25"/>
      <c r="E161" s="26"/>
      <c r="F161" s="165">
        <v>1</v>
      </c>
      <c r="G161" s="142">
        <f t="shared" si="25"/>
        <v>0</v>
      </c>
      <c r="H161" s="26">
        <f t="shared" si="26"/>
        <v>0</v>
      </c>
      <c r="I161" s="64">
        <v>1</v>
      </c>
      <c r="J161" s="142">
        <f t="shared" si="27"/>
        <v>0</v>
      </c>
      <c r="K161" s="26">
        <f t="shared" si="30"/>
        <v>0</v>
      </c>
      <c r="L161" s="64">
        <v>1</v>
      </c>
      <c r="M161" s="142">
        <f t="shared" si="28"/>
        <v>0</v>
      </c>
      <c r="N161" s="53"/>
    </row>
    <row r="162" spans="1:14" ht="36">
      <c r="A162" s="71">
        <f t="shared" si="29"/>
        <v>20</v>
      </c>
      <c r="B162" s="74" t="s">
        <v>395</v>
      </c>
      <c r="C162" s="136" t="s">
        <v>325</v>
      </c>
      <c r="D162" s="6"/>
      <c r="E162" s="5"/>
      <c r="F162" s="165">
        <v>1</v>
      </c>
      <c r="G162" s="142">
        <f t="shared" si="25"/>
        <v>0</v>
      </c>
      <c r="H162" s="5">
        <f t="shared" si="26"/>
        <v>0</v>
      </c>
      <c r="I162" s="63">
        <v>1</v>
      </c>
      <c r="J162" s="142">
        <f t="shared" si="27"/>
        <v>0</v>
      </c>
      <c r="K162" s="5">
        <f t="shared" si="30"/>
        <v>0</v>
      </c>
      <c r="L162" s="63">
        <v>1</v>
      </c>
      <c r="M162" s="142">
        <f t="shared" si="28"/>
        <v>0</v>
      </c>
      <c r="N162" s="52"/>
    </row>
    <row r="163" spans="1:14" ht="45">
      <c r="A163" s="71">
        <f t="shared" si="29"/>
        <v>21</v>
      </c>
      <c r="B163" s="196" t="s">
        <v>268</v>
      </c>
      <c r="C163" s="162" t="s">
        <v>458</v>
      </c>
      <c r="D163" s="163"/>
      <c r="E163" s="164"/>
      <c r="F163" s="165">
        <v>1</v>
      </c>
      <c r="G163" s="142">
        <f t="shared" si="25"/>
        <v>0</v>
      </c>
      <c r="H163" s="164">
        <f t="shared" si="26"/>
        <v>0</v>
      </c>
      <c r="I163" s="141">
        <v>1</v>
      </c>
      <c r="J163" s="142">
        <f t="shared" si="27"/>
        <v>0</v>
      </c>
      <c r="K163" s="164">
        <f t="shared" si="30"/>
        <v>0</v>
      </c>
      <c r="L163" s="165">
        <v>1</v>
      </c>
      <c r="M163" s="142">
        <f t="shared" si="28"/>
        <v>0</v>
      </c>
      <c r="N163" s="166"/>
    </row>
    <row r="164" spans="1:14" ht="78.75">
      <c r="A164" s="71">
        <f t="shared" si="29"/>
        <v>22</v>
      </c>
      <c r="B164" s="74" t="s">
        <v>98</v>
      </c>
      <c r="C164" s="3" t="s">
        <v>459</v>
      </c>
      <c r="D164" s="6"/>
      <c r="E164" s="5"/>
      <c r="F164" s="165">
        <v>1</v>
      </c>
      <c r="G164" s="142">
        <f t="shared" si="25"/>
        <v>0</v>
      </c>
      <c r="H164" s="5">
        <f t="shared" si="26"/>
        <v>0</v>
      </c>
      <c r="I164" s="64">
        <v>1</v>
      </c>
      <c r="J164" s="142">
        <f t="shared" si="27"/>
        <v>0</v>
      </c>
      <c r="K164" s="5">
        <f t="shared" si="30"/>
        <v>0</v>
      </c>
      <c r="L164" s="63">
        <v>1</v>
      </c>
      <c r="M164" s="142">
        <f t="shared" si="28"/>
        <v>0</v>
      </c>
      <c r="N164" s="52"/>
    </row>
    <row r="165" spans="1:14" ht="24">
      <c r="A165" s="71">
        <f t="shared" si="29"/>
        <v>23</v>
      </c>
      <c r="B165" s="74" t="s">
        <v>371</v>
      </c>
      <c r="C165" s="3" t="s">
        <v>156</v>
      </c>
      <c r="D165" s="6"/>
      <c r="E165" s="5"/>
      <c r="F165" s="165">
        <v>1</v>
      </c>
      <c r="G165" s="142">
        <f t="shared" si="25"/>
        <v>0</v>
      </c>
      <c r="H165" s="5">
        <f t="shared" si="26"/>
        <v>0</v>
      </c>
      <c r="I165" s="64">
        <v>1</v>
      </c>
      <c r="J165" s="142">
        <f t="shared" si="27"/>
        <v>0</v>
      </c>
      <c r="K165" s="5">
        <f t="shared" si="30"/>
        <v>0</v>
      </c>
      <c r="L165" s="63">
        <v>1</v>
      </c>
      <c r="M165" s="142">
        <f t="shared" si="28"/>
        <v>0</v>
      </c>
      <c r="N165" s="52"/>
    </row>
    <row r="166" spans="1:14" ht="24">
      <c r="A166" s="71">
        <f t="shared" si="29"/>
        <v>24</v>
      </c>
      <c r="B166" s="75" t="s">
        <v>99</v>
      </c>
      <c r="C166" s="2" t="s">
        <v>106</v>
      </c>
      <c r="D166" s="25"/>
      <c r="E166" s="26"/>
      <c r="F166" s="165">
        <v>1</v>
      </c>
      <c r="G166" s="142">
        <f t="shared" si="25"/>
        <v>0</v>
      </c>
      <c r="H166" s="26">
        <f t="shared" si="26"/>
        <v>0</v>
      </c>
      <c r="I166" s="64">
        <v>1</v>
      </c>
      <c r="J166" s="142">
        <f t="shared" si="27"/>
        <v>0</v>
      </c>
      <c r="K166" s="26">
        <f t="shared" si="30"/>
        <v>0</v>
      </c>
      <c r="L166" s="64">
        <v>1</v>
      </c>
      <c r="M166" s="142">
        <f t="shared" si="28"/>
        <v>0</v>
      </c>
      <c r="N166" s="53"/>
    </row>
    <row r="167" spans="1:14" ht="12">
      <c r="A167" s="71">
        <f t="shared" si="29"/>
        <v>25</v>
      </c>
      <c r="B167" s="74" t="s">
        <v>100</v>
      </c>
      <c r="C167" s="3" t="s">
        <v>106</v>
      </c>
      <c r="D167" s="6"/>
      <c r="E167" s="5"/>
      <c r="F167" s="165">
        <v>1</v>
      </c>
      <c r="G167" s="142">
        <f t="shared" si="25"/>
        <v>0</v>
      </c>
      <c r="H167" s="5">
        <f t="shared" si="26"/>
        <v>0</v>
      </c>
      <c r="I167" s="63">
        <v>1</v>
      </c>
      <c r="J167" s="142">
        <f t="shared" si="27"/>
        <v>0</v>
      </c>
      <c r="K167" s="5">
        <f t="shared" si="30"/>
        <v>0</v>
      </c>
      <c r="L167" s="63">
        <v>1</v>
      </c>
      <c r="M167" s="142">
        <f t="shared" si="28"/>
        <v>0</v>
      </c>
      <c r="N167" s="52"/>
    </row>
    <row r="168" spans="1:14" ht="12">
      <c r="A168" s="71">
        <f t="shared" si="29"/>
        <v>26</v>
      </c>
      <c r="B168" s="196" t="s">
        <v>101</v>
      </c>
      <c r="C168" s="162" t="s">
        <v>106</v>
      </c>
      <c r="D168" s="163"/>
      <c r="E168" s="164"/>
      <c r="F168" s="165">
        <v>1</v>
      </c>
      <c r="G168" s="142">
        <f t="shared" si="25"/>
        <v>0</v>
      </c>
      <c r="H168" s="164">
        <f>G168</f>
        <v>0</v>
      </c>
      <c r="I168" s="141">
        <v>1</v>
      </c>
      <c r="J168" s="142">
        <f t="shared" si="27"/>
        <v>0</v>
      </c>
      <c r="K168" s="164">
        <f t="shared" si="30"/>
        <v>0</v>
      </c>
      <c r="L168" s="165">
        <v>1</v>
      </c>
      <c r="M168" s="142">
        <f t="shared" si="28"/>
        <v>0</v>
      </c>
      <c r="N168" s="166"/>
    </row>
    <row r="169" spans="1:14" ht="12">
      <c r="A169" s="71">
        <f t="shared" si="29"/>
        <v>27</v>
      </c>
      <c r="B169" s="74" t="s">
        <v>102</v>
      </c>
      <c r="C169" s="3" t="s">
        <v>106</v>
      </c>
      <c r="D169" s="6"/>
      <c r="E169" s="5"/>
      <c r="F169" s="165">
        <v>1</v>
      </c>
      <c r="G169" s="142">
        <f t="shared" si="25"/>
        <v>0</v>
      </c>
      <c r="H169" s="5">
        <f t="shared" si="26"/>
        <v>0</v>
      </c>
      <c r="I169" s="64">
        <v>1</v>
      </c>
      <c r="J169" s="142">
        <f t="shared" si="27"/>
        <v>0</v>
      </c>
      <c r="K169" s="5">
        <f t="shared" si="30"/>
        <v>0</v>
      </c>
      <c r="L169" s="63">
        <v>1</v>
      </c>
      <c r="M169" s="142">
        <f t="shared" si="28"/>
        <v>0</v>
      </c>
      <c r="N169" s="52"/>
    </row>
    <row r="170" spans="1:14" ht="24">
      <c r="A170" s="71">
        <f t="shared" si="29"/>
        <v>28</v>
      </c>
      <c r="B170" s="74" t="s">
        <v>103</v>
      </c>
      <c r="C170" s="3" t="s">
        <v>106</v>
      </c>
      <c r="D170" s="6"/>
      <c r="E170" s="5"/>
      <c r="F170" s="165">
        <v>1</v>
      </c>
      <c r="G170" s="142">
        <f t="shared" si="25"/>
        <v>0</v>
      </c>
      <c r="H170" s="5">
        <f t="shared" si="26"/>
        <v>0</v>
      </c>
      <c r="I170" s="64">
        <v>1</v>
      </c>
      <c r="J170" s="142">
        <f t="shared" si="27"/>
        <v>0</v>
      </c>
      <c r="K170" s="5">
        <f t="shared" si="30"/>
        <v>0</v>
      </c>
      <c r="L170" s="63">
        <v>1</v>
      </c>
      <c r="M170" s="142">
        <f t="shared" si="28"/>
        <v>0</v>
      </c>
      <c r="N170" s="52"/>
    </row>
    <row r="171" spans="1:14" ht="12">
      <c r="A171" s="71">
        <f t="shared" si="29"/>
        <v>29</v>
      </c>
      <c r="B171" s="74" t="s">
        <v>104</v>
      </c>
      <c r="C171" s="3" t="s">
        <v>106</v>
      </c>
      <c r="D171" s="6"/>
      <c r="E171" s="5"/>
      <c r="F171" s="165">
        <v>1</v>
      </c>
      <c r="G171" s="142">
        <f t="shared" si="25"/>
        <v>0</v>
      </c>
      <c r="H171" s="5">
        <f t="shared" si="26"/>
        <v>0</v>
      </c>
      <c r="I171" s="64">
        <v>1</v>
      </c>
      <c r="J171" s="142">
        <f t="shared" si="27"/>
        <v>0</v>
      </c>
      <c r="K171" s="5">
        <f t="shared" si="30"/>
        <v>0</v>
      </c>
      <c r="L171" s="63">
        <v>1</v>
      </c>
      <c r="M171" s="142">
        <f t="shared" si="28"/>
        <v>0</v>
      </c>
      <c r="N171" s="52"/>
    </row>
    <row r="172" spans="1:14" ht="24">
      <c r="A172" s="71">
        <f t="shared" si="29"/>
        <v>30</v>
      </c>
      <c r="B172" s="74" t="s">
        <v>266</v>
      </c>
      <c r="C172" s="3" t="s">
        <v>106</v>
      </c>
      <c r="D172" s="6"/>
      <c r="E172" s="5"/>
      <c r="F172" s="165">
        <v>1</v>
      </c>
      <c r="G172" s="142">
        <f t="shared" si="25"/>
        <v>0</v>
      </c>
      <c r="H172" s="5">
        <f t="shared" si="26"/>
        <v>0</v>
      </c>
      <c r="I172" s="64">
        <v>1</v>
      </c>
      <c r="J172" s="142">
        <f t="shared" si="27"/>
        <v>0</v>
      </c>
      <c r="K172" s="5">
        <f t="shared" si="30"/>
        <v>0</v>
      </c>
      <c r="L172" s="63">
        <v>1</v>
      </c>
      <c r="M172" s="142">
        <f t="shared" si="28"/>
        <v>0</v>
      </c>
      <c r="N172" s="52"/>
    </row>
    <row r="173" spans="1:14" ht="24">
      <c r="A173" s="71">
        <f>A172+1</f>
        <v>31</v>
      </c>
      <c r="B173" s="74" t="s">
        <v>450</v>
      </c>
      <c r="C173" s="3" t="s">
        <v>106</v>
      </c>
      <c r="D173" s="6"/>
      <c r="E173" s="5"/>
      <c r="F173" s="165">
        <v>1</v>
      </c>
      <c r="G173" s="142">
        <f t="shared" si="25"/>
        <v>0</v>
      </c>
      <c r="H173" s="5">
        <f t="shared" si="26"/>
        <v>0</v>
      </c>
      <c r="I173" s="64">
        <v>1</v>
      </c>
      <c r="J173" s="142">
        <f t="shared" si="27"/>
        <v>0</v>
      </c>
      <c r="K173" s="5">
        <f t="shared" si="30"/>
        <v>0</v>
      </c>
      <c r="L173" s="63">
        <v>1</v>
      </c>
      <c r="M173" s="142">
        <f t="shared" si="28"/>
        <v>0</v>
      </c>
      <c r="N173" s="52"/>
    </row>
    <row r="174" spans="1:14" ht="24">
      <c r="A174" s="71">
        <f>A173+1</f>
        <v>32</v>
      </c>
      <c r="B174" s="74" t="s">
        <v>116</v>
      </c>
      <c r="C174" s="3" t="s">
        <v>18</v>
      </c>
      <c r="D174" s="6"/>
      <c r="E174" s="5"/>
      <c r="F174" s="165">
        <v>1</v>
      </c>
      <c r="G174" s="142">
        <f t="shared" si="25"/>
        <v>0</v>
      </c>
      <c r="H174" s="5">
        <f t="shared" si="26"/>
        <v>0</v>
      </c>
      <c r="I174" s="64">
        <v>1</v>
      </c>
      <c r="J174" s="142">
        <f t="shared" si="27"/>
        <v>0</v>
      </c>
      <c r="K174" s="5">
        <f t="shared" si="30"/>
        <v>0</v>
      </c>
      <c r="L174" s="63">
        <v>1</v>
      </c>
      <c r="M174" s="142">
        <f t="shared" si="28"/>
        <v>0</v>
      </c>
      <c r="N174" s="52"/>
    </row>
    <row r="175" spans="1:14" ht="36">
      <c r="A175" s="71">
        <f>A174+1</f>
        <v>33</v>
      </c>
      <c r="B175" s="78" t="s">
        <v>373</v>
      </c>
      <c r="C175" s="31"/>
      <c r="D175" s="32"/>
      <c r="E175" s="5"/>
      <c r="F175" s="165">
        <v>1</v>
      </c>
      <c r="G175" s="142">
        <f t="shared" si="25"/>
        <v>0</v>
      </c>
      <c r="H175" s="5">
        <f t="shared" si="26"/>
        <v>0</v>
      </c>
      <c r="I175" s="64">
        <v>1</v>
      </c>
      <c r="J175" s="142">
        <f t="shared" si="27"/>
        <v>0</v>
      </c>
      <c r="K175" s="5">
        <f t="shared" si="30"/>
        <v>0</v>
      </c>
      <c r="L175" s="63">
        <v>1</v>
      </c>
      <c r="M175" s="142">
        <f t="shared" si="28"/>
        <v>0</v>
      </c>
      <c r="N175" s="55"/>
    </row>
    <row r="176" spans="1:14" ht="12">
      <c r="A176" s="72"/>
      <c r="B176" s="74" t="s">
        <v>261</v>
      </c>
      <c r="C176" s="3" t="s">
        <v>18</v>
      </c>
      <c r="D176" s="6"/>
      <c r="E176" s="5"/>
      <c r="F176" s="165">
        <v>1</v>
      </c>
      <c r="G176" s="142">
        <f t="shared" si="25"/>
        <v>0</v>
      </c>
      <c r="H176" s="5">
        <f t="shared" si="26"/>
        <v>0</v>
      </c>
      <c r="I176" s="64">
        <v>1</v>
      </c>
      <c r="J176" s="142">
        <f t="shared" si="27"/>
        <v>0</v>
      </c>
      <c r="K176" s="5">
        <f t="shared" si="30"/>
        <v>0</v>
      </c>
      <c r="L176" s="63">
        <v>1</v>
      </c>
      <c r="M176" s="142">
        <f t="shared" si="28"/>
        <v>0</v>
      </c>
      <c r="N176" s="52"/>
    </row>
    <row r="177" spans="1:14" ht="12">
      <c r="A177" s="72"/>
      <c r="B177" s="74" t="s">
        <v>262</v>
      </c>
      <c r="C177" s="3" t="s">
        <v>18</v>
      </c>
      <c r="D177" s="6"/>
      <c r="E177" s="5"/>
      <c r="F177" s="165">
        <v>1</v>
      </c>
      <c r="G177" s="142">
        <f t="shared" si="25"/>
        <v>0</v>
      </c>
      <c r="H177" s="5">
        <f t="shared" si="26"/>
        <v>0</v>
      </c>
      <c r="I177" s="64">
        <v>1</v>
      </c>
      <c r="J177" s="142">
        <f t="shared" si="27"/>
        <v>0</v>
      </c>
      <c r="K177" s="5">
        <f t="shared" si="30"/>
        <v>0</v>
      </c>
      <c r="L177" s="63">
        <v>1</v>
      </c>
      <c r="M177" s="142">
        <f t="shared" si="28"/>
        <v>0</v>
      </c>
      <c r="N177" s="52"/>
    </row>
    <row r="178" spans="1:14" ht="12">
      <c r="A178" s="72"/>
      <c r="B178" s="74" t="s">
        <v>263</v>
      </c>
      <c r="C178" s="3" t="s">
        <v>18</v>
      </c>
      <c r="D178" s="6"/>
      <c r="E178" s="5"/>
      <c r="F178" s="165">
        <v>1</v>
      </c>
      <c r="G178" s="142">
        <f t="shared" si="25"/>
        <v>0</v>
      </c>
      <c r="H178" s="5">
        <f t="shared" si="26"/>
        <v>0</v>
      </c>
      <c r="I178" s="64">
        <v>1</v>
      </c>
      <c r="J178" s="142">
        <f t="shared" si="27"/>
        <v>0</v>
      </c>
      <c r="K178" s="5">
        <f t="shared" si="30"/>
        <v>0</v>
      </c>
      <c r="L178" s="63">
        <v>1</v>
      </c>
      <c r="M178" s="142">
        <f t="shared" si="28"/>
        <v>0</v>
      </c>
      <c r="N178" s="52"/>
    </row>
    <row r="179" spans="1:14" ht="12">
      <c r="A179" s="72"/>
      <c r="B179" s="74" t="s">
        <v>438</v>
      </c>
      <c r="C179" s="3" t="s">
        <v>18</v>
      </c>
      <c r="D179" s="6"/>
      <c r="E179" s="5"/>
      <c r="F179" s="165">
        <v>1</v>
      </c>
      <c r="G179" s="142">
        <f t="shared" si="25"/>
        <v>0</v>
      </c>
      <c r="H179" s="5">
        <f t="shared" si="26"/>
        <v>0</v>
      </c>
      <c r="I179" s="64">
        <v>1</v>
      </c>
      <c r="J179" s="142">
        <f t="shared" si="27"/>
        <v>0</v>
      </c>
      <c r="K179" s="5">
        <f t="shared" si="30"/>
        <v>0</v>
      </c>
      <c r="L179" s="63">
        <v>1</v>
      </c>
      <c r="M179" s="142">
        <f t="shared" si="28"/>
        <v>0</v>
      </c>
      <c r="N179" s="52"/>
    </row>
    <row r="180" spans="1:14" ht="12">
      <c r="A180" s="72"/>
      <c r="B180" s="74" t="s">
        <v>436</v>
      </c>
      <c r="C180" s="3" t="s">
        <v>18</v>
      </c>
      <c r="D180" s="6"/>
      <c r="E180" s="5"/>
      <c r="F180" s="165">
        <v>1</v>
      </c>
      <c r="G180" s="142">
        <f t="shared" si="25"/>
        <v>0</v>
      </c>
      <c r="H180" s="5">
        <f t="shared" si="26"/>
        <v>0</v>
      </c>
      <c r="I180" s="64">
        <v>1</v>
      </c>
      <c r="J180" s="142">
        <f t="shared" si="27"/>
        <v>0</v>
      </c>
      <c r="K180" s="5">
        <f t="shared" si="30"/>
        <v>0</v>
      </c>
      <c r="L180" s="63">
        <v>1</v>
      </c>
      <c r="M180" s="142">
        <f t="shared" si="28"/>
        <v>0</v>
      </c>
      <c r="N180" s="52"/>
    </row>
    <row r="181" spans="1:14" ht="12">
      <c r="A181" s="72"/>
      <c r="B181" s="74" t="s">
        <v>482</v>
      </c>
      <c r="C181" s="3" t="s">
        <v>18</v>
      </c>
      <c r="D181" s="6"/>
      <c r="E181" s="5"/>
      <c r="F181" s="165">
        <v>1</v>
      </c>
      <c r="G181" s="142">
        <f t="shared" si="25"/>
        <v>0</v>
      </c>
      <c r="H181" s="5">
        <f t="shared" si="26"/>
        <v>0</v>
      </c>
      <c r="I181" s="64">
        <v>1</v>
      </c>
      <c r="J181" s="142">
        <f t="shared" si="27"/>
        <v>0</v>
      </c>
      <c r="K181" s="5">
        <f t="shared" si="30"/>
        <v>0</v>
      </c>
      <c r="L181" s="63">
        <v>1</v>
      </c>
      <c r="M181" s="142">
        <f t="shared" si="28"/>
        <v>0</v>
      </c>
      <c r="N181" s="52"/>
    </row>
    <row r="182" spans="1:14" ht="33.75">
      <c r="A182" s="73"/>
      <c r="B182" s="74" t="s">
        <v>293</v>
      </c>
      <c r="C182" s="3" t="s">
        <v>264</v>
      </c>
      <c r="D182" s="6"/>
      <c r="E182" s="5"/>
      <c r="F182" s="165">
        <v>1</v>
      </c>
      <c r="G182" s="142">
        <f t="shared" si="25"/>
        <v>0</v>
      </c>
      <c r="H182" s="5">
        <f t="shared" si="26"/>
        <v>0</v>
      </c>
      <c r="I182" s="64">
        <v>1</v>
      </c>
      <c r="J182" s="142">
        <f t="shared" si="27"/>
        <v>0</v>
      </c>
      <c r="K182" s="5">
        <f t="shared" si="30"/>
        <v>0</v>
      </c>
      <c r="L182" s="63">
        <v>1</v>
      </c>
      <c r="M182" s="142">
        <f t="shared" si="28"/>
        <v>0</v>
      </c>
      <c r="N182" s="52"/>
    </row>
    <row r="183" spans="1:14" ht="24" customHeight="1">
      <c r="A183" s="50">
        <f>A175+1</f>
        <v>34</v>
      </c>
      <c r="B183" s="74" t="s">
        <v>439</v>
      </c>
      <c r="C183" s="3" t="s">
        <v>454</v>
      </c>
      <c r="D183" s="6"/>
      <c r="E183" s="5"/>
      <c r="F183" s="165">
        <v>1</v>
      </c>
      <c r="G183" s="142">
        <f t="shared" si="25"/>
        <v>0</v>
      </c>
      <c r="H183" s="5">
        <f t="shared" si="26"/>
        <v>0</v>
      </c>
      <c r="I183" s="64">
        <v>1</v>
      </c>
      <c r="J183" s="142">
        <f t="shared" si="27"/>
        <v>0</v>
      </c>
      <c r="K183" s="5">
        <f t="shared" si="30"/>
        <v>0</v>
      </c>
      <c r="L183" s="63">
        <v>1</v>
      </c>
      <c r="M183" s="142">
        <f t="shared" si="28"/>
        <v>0</v>
      </c>
      <c r="N183" s="52"/>
    </row>
    <row r="184" spans="1:14" ht="24" customHeight="1">
      <c r="A184" s="50">
        <f>A183+1</f>
        <v>35</v>
      </c>
      <c r="B184" s="74" t="s">
        <v>440</v>
      </c>
      <c r="C184" s="3" t="s">
        <v>454</v>
      </c>
      <c r="D184" s="6"/>
      <c r="E184" s="5"/>
      <c r="F184" s="165">
        <v>1</v>
      </c>
      <c r="G184" s="142">
        <f t="shared" si="25"/>
        <v>0</v>
      </c>
      <c r="H184" s="5">
        <f t="shared" si="26"/>
        <v>0</v>
      </c>
      <c r="I184" s="64">
        <v>1</v>
      </c>
      <c r="J184" s="142">
        <f t="shared" si="27"/>
        <v>0</v>
      </c>
      <c r="K184" s="5">
        <f t="shared" si="30"/>
        <v>0</v>
      </c>
      <c r="L184" s="63">
        <v>1</v>
      </c>
      <c r="M184" s="142">
        <f t="shared" si="28"/>
        <v>0</v>
      </c>
      <c r="N184" s="52"/>
    </row>
    <row r="185" spans="1:14" ht="24" customHeight="1">
      <c r="A185" s="50">
        <f aca="true" t="shared" si="31" ref="A185:A205">A184+1</f>
        <v>36</v>
      </c>
      <c r="B185" s="74" t="s">
        <v>444</v>
      </c>
      <c r="C185" s="3" t="s">
        <v>454</v>
      </c>
      <c r="D185" s="6"/>
      <c r="E185" s="5"/>
      <c r="F185" s="165">
        <v>1</v>
      </c>
      <c r="G185" s="142">
        <f t="shared" si="25"/>
        <v>0</v>
      </c>
      <c r="H185" s="5">
        <f t="shared" si="26"/>
        <v>0</v>
      </c>
      <c r="I185" s="64">
        <v>1</v>
      </c>
      <c r="J185" s="142">
        <f t="shared" si="27"/>
        <v>0</v>
      </c>
      <c r="K185" s="5">
        <f t="shared" si="30"/>
        <v>0</v>
      </c>
      <c r="L185" s="63">
        <v>1</v>
      </c>
      <c r="M185" s="142">
        <f t="shared" si="28"/>
        <v>0</v>
      </c>
      <c r="N185" s="52"/>
    </row>
    <row r="186" spans="1:14" ht="24" customHeight="1">
      <c r="A186" s="50">
        <f t="shared" si="31"/>
        <v>37</v>
      </c>
      <c r="B186" s="74" t="s">
        <v>448</v>
      </c>
      <c r="C186" s="3" t="s">
        <v>454</v>
      </c>
      <c r="D186" s="6"/>
      <c r="E186" s="5"/>
      <c r="F186" s="165">
        <v>1</v>
      </c>
      <c r="G186" s="142">
        <f t="shared" si="25"/>
        <v>0</v>
      </c>
      <c r="H186" s="5">
        <f t="shared" si="26"/>
        <v>0</v>
      </c>
      <c r="I186" s="64">
        <v>1</v>
      </c>
      <c r="J186" s="142">
        <f t="shared" si="27"/>
        <v>0</v>
      </c>
      <c r="K186" s="5">
        <f t="shared" si="30"/>
        <v>0</v>
      </c>
      <c r="L186" s="63">
        <v>1</v>
      </c>
      <c r="M186" s="142">
        <f t="shared" si="28"/>
        <v>0</v>
      </c>
      <c r="N186" s="52"/>
    </row>
    <row r="187" spans="1:14" ht="36">
      <c r="A187" s="50">
        <f t="shared" si="31"/>
        <v>38</v>
      </c>
      <c r="B187" s="74" t="s">
        <v>107</v>
      </c>
      <c r="C187" s="3" t="s">
        <v>108</v>
      </c>
      <c r="D187" s="6"/>
      <c r="E187" s="5"/>
      <c r="F187" s="165">
        <v>1</v>
      </c>
      <c r="G187" s="142">
        <f t="shared" si="25"/>
        <v>0</v>
      </c>
      <c r="H187" s="5">
        <f t="shared" si="26"/>
        <v>0</v>
      </c>
      <c r="I187" s="64">
        <v>1</v>
      </c>
      <c r="J187" s="142">
        <f t="shared" si="27"/>
        <v>0</v>
      </c>
      <c r="K187" s="5">
        <f t="shared" si="30"/>
        <v>0</v>
      </c>
      <c r="L187" s="63">
        <v>1</v>
      </c>
      <c r="M187" s="142">
        <f t="shared" si="28"/>
        <v>0</v>
      </c>
      <c r="N187" s="52"/>
    </row>
    <row r="188" spans="1:14" ht="22.5">
      <c r="A188" s="50">
        <f t="shared" si="31"/>
        <v>39</v>
      </c>
      <c r="B188" s="74" t="s">
        <v>109</v>
      </c>
      <c r="C188" s="3" t="s">
        <v>108</v>
      </c>
      <c r="D188" s="6"/>
      <c r="E188" s="5"/>
      <c r="F188" s="165">
        <v>1</v>
      </c>
      <c r="G188" s="142">
        <f t="shared" si="25"/>
        <v>0</v>
      </c>
      <c r="H188" s="5">
        <f t="shared" si="26"/>
        <v>0</v>
      </c>
      <c r="I188" s="64">
        <v>1</v>
      </c>
      <c r="J188" s="142">
        <f t="shared" si="27"/>
        <v>0</v>
      </c>
      <c r="K188" s="5">
        <f t="shared" si="30"/>
        <v>0</v>
      </c>
      <c r="L188" s="63">
        <v>1</v>
      </c>
      <c r="M188" s="142">
        <f t="shared" si="28"/>
        <v>0</v>
      </c>
      <c r="N188" s="52"/>
    </row>
    <row r="189" spans="1:14" ht="36">
      <c r="A189" s="50">
        <f t="shared" si="31"/>
        <v>40</v>
      </c>
      <c r="B189" s="74" t="s">
        <v>110</v>
      </c>
      <c r="C189" s="3" t="s">
        <v>454</v>
      </c>
      <c r="D189" s="6"/>
      <c r="E189" s="5"/>
      <c r="F189" s="165">
        <v>1</v>
      </c>
      <c r="G189" s="142">
        <f t="shared" si="25"/>
        <v>0</v>
      </c>
      <c r="H189" s="5">
        <f t="shared" si="26"/>
        <v>0</v>
      </c>
      <c r="I189" s="64">
        <v>1</v>
      </c>
      <c r="J189" s="142">
        <f t="shared" si="27"/>
        <v>0</v>
      </c>
      <c r="K189" s="5">
        <f t="shared" si="30"/>
        <v>0</v>
      </c>
      <c r="L189" s="63">
        <v>1</v>
      </c>
      <c r="M189" s="142">
        <f t="shared" si="28"/>
        <v>0</v>
      </c>
      <c r="N189" s="52"/>
    </row>
    <row r="190" spans="1:14" ht="12">
      <c r="A190" s="50">
        <f t="shared" si="31"/>
        <v>41</v>
      </c>
      <c r="B190" s="74" t="s">
        <v>374</v>
      </c>
      <c r="C190" s="3" t="s">
        <v>111</v>
      </c>
      <c r="D190" s="6"/>
      <c r="E190" s="5"/>
      <c r="F190" s="165">
        <v>1</v>
      </c>
      <c r="G190" s="142">
        <f t="shared" si="25"/>
        <v>0</v>
      </c>
      <c r="H190" s="5">
        <f t="shared" si="26"/>
        <v>0</v>
      </c>
      <c r="I190" s="64">
        <v>1</v>
      </c>
      <c r="J190" s="142">
        <f t="shared" si="27"/>
        <v>0</v>
      </c>
      <c r="K190" s="5">
        <f t="shared" si="30"/>
        <v>0</v>
      </c>
      <c r="L190" s="63">
        <v>1</v>
      </c>
      <c r="M190" s="142">
        <f t="shared" si="28"/>
        <v>0</v>
      </c>
      <c r="N190" s="52"/>
    </row>
    <row r="191" spans="1:14" ht="22.5">
      <c r="A191" s="50">
        <f t="shared" si="31"/>
        <v>42</v>
      </c>
      <c r="B191" s="74" t="s">
        <v>114</v>
      </c>
      <c r="C191" s="3" t="s">
        <v>112</v>
      </c>
      <c r="D191" s="6"/>
      <c r="E191" s="5"/>
      <c r="F191" s="165">
        <v>1</v>
      </c>
      <c r="G191" s="142">
        <f t="shared" si="25"/>
        <v>0</v>
      </c>
      <c r="H191" s="5">
        <f t="shared" si="26"/>
        <v>0</v>
      </c>
      <c r="I191" s="64">
        <v>1</v>
      </c>
      <c r="J191" s="142">
        <f t="shared" si="27"/>
        <v>0</v>
      </c>
      <c r="K191" s="5">
        <f t="shared" si="30"/>
        <v>0</v>
      </c>
      <c r="L191" s="63">
        <v>1</v>
      </c>
      <c r="M191" s="142">
        <f t="shared" si="28"/>
        <v>0</v>
      </c>
      <c r="N191" s="52"/>
    </row>
    <row r="192" spans="1:14" ht="12">
      <c r="A192" s="50">
        <f t="shared" si="31"/>
        <v>43</v>
      </c>
      <c r="B192" s="74" t="s">
        <v>121</v>
      </c>
      <c r="C192" s="3" t="s">
        <v>22</v>
      </c>
      <c r="D192" s="6"/>
      <c r="E192" s="5"/>
      <c r="F192" s="165">
        <v>1</v>
      </c>
      <c r="G192" s="142">
        <f t="shared" si="25"/>
        <v>0</v>
      </c>
      <c r="H192" s="5">
        <f t="shared" si="26"/>
        <v>0</v>
      </c>
      <c r="I192" s="64">
        <v>1</v>
      </c>
      <c r="J192" s="142">
        <f t="shared" si="27"/>
        <v>0</v>
      </c>
      <c r="K192" s="5">
        <f t="shared" si="30"/>
        <v>0</v>
      </c>
      <c r="L192" s="63">
        <v>1</v>
      </c>
      <c r="M192" s="142">
        <f t="shared" si="28"/>
        <v>0</v>
      </c>
      <c r="N192" s="52"/>
    </row>
    <row r="193" spans="1:14" ht="24">
      <c r="A193" s="50">
        <f t="shared" si="31"/>
        <v>44</v>
      </c>
      <c r="B193" s="74" t="s">
        <v>398</v>
      </c>
      <c r="C193" s="34" t="s">
        <v>91</v>
      </c>
      <c r="D193" s="6"/>
      <c r="E193" s="5"/>
      <c r="F193" s="165">
        <v>1</v>
      </c>
      <c r="G193" s="142">
        <f t="shared" si="25"/>
        <v>0</v>
      </c>
      <c r="H193" s="5">
        <f t="shared" si="26"/>
        <v>0</v>
      </c>
      <c r="I193" s="64">
        <v>1</v>
      </c>
      <c r="J193" s="142">
        <f t="shared" si="27"/>
        <v>0</v>
      </c>
      <c r="K193" s="5">
        <f t="shared" si="30"/>
        <v>0</v>
      </c>
      <c r="L193" s="63">
        <v>1</v>
      </c>
      <c r="M193" s="142">
        <f t="shared" si="28"/>
        <v>0</v>
      </c>
      <c r="N193" s="52"/>
    </row>
    <row r="194" spans="1:14" ht="22.5">
      <c r="A194" s="50">
        <f t="shared" si="31"/>
        <v>45</v>
      </c>
      <c r="B194" s="74" t="s">
        <v>113</v>
      </c>
      <c r="C194" s="3" t="s">
        <v>115</v>
      </c>
      <c r="D194" s="6"/>
      <c r="E194" s="5"/>
      <c r="F194" s="165">
        <v>1</v>
      </c>
      <c r="G194" s="142">
        <f t="shared" si="25"/>
        <v>0</v>
      </c>
      <c r="H194" s="5">
        <f t="shared" si="26"/>
        <v>0</v>
      </c>
      <c r="I194" s="64">
        <v>1</v>
      </c>
      <c r="J194" s="142">
        <f t="shared" si="27"/>
        <v>0</v>
      </c>
      <c r="K194" s="5">
        <f t="shared" si="30"/>
        <v>0</v>
      </c>
      <c r="L194" s="63">
        <v>1</v>
      </c>
      <c r="M194" s="142">
        <f t="shared" si="28"/>
        <v>0</v>
      </c>
      <c r="N194" s="52"/>
    </row>
    <row r="195" spans="1:14" ht="36">
      <c r="A195" s="50">
        <f t="shared" si="31"/>
        <v>46</v>
      </c>
      <c r="B195" s="74" t="s">
        <v>474</v>
      </c>
      <c r="C195" s="3" t="s">
        <v>91</v>
      </c>
      <c r="D195" s="6"/>
      <c r="E195" s="5"/>
      <c r="F195" s="165">
        <v>1</v>
      </c>
      <c r="G195" s="142">
        <f t="shared" si="25"/>
        <v>0</v>
      </c>
      <c r="H195" s="5">
        <f t="shared" si="26"/>
        <v>0</v>
      </c>
      <c r="I195" s="64">
        <v>1</v>
      </c>
      <c r="J195" s="142">
        <f t="shared" si="27"/>
        <v>0</v>
      </c>
      <c r="K195" s="5">
        <f t="shared" si="30"/>
        <v>0</v>
      </c>
      <c r="L195" s="63">
        <v>1</v>
      </c>
      <c r="M195" s="142">
        <f t="shared" si="28"/>
        <v>0</v>
      </c>
      <c r="N195" s="52"/>
    </row>
    <row r="196" spans="1:14" ht="12">
      <c r="A196" s="50">
        <f>A195+1</f>
        <v>47</v>
      </c>
      <c r="B196" s="74" t="s">
        <v>350</v>
      </c>
      <c r="C196" s="3" t="s">
        <v>156</v>
      </c>
      <c r="D196" s="6"/>
      <c r="E196" s="5"/>
      <c r="F196" s="165">
        <v>1</v>
      </c>
      <c r="G196" s="142">
        <f t="shared" si="25"/>
        <v>0</v>
      </c>
      <c r="H196" s="5">
        <f t="shared" si="26"/>
        <v>0</v>
      </c>
      <c r="I196" s="64">
        <v>1</v>
      </c>
      <c r="J196" s="142">
        <f t="shared" si="27"/>
        <v>0</v>
      </c>
      <c r="K196" s="5">
        <f t="shared" si="30"/>
        <v>0</v>
      </c>
      <c r="L196" s="63">
        <v>1</v>
      </c>
      <c r="M196" s="142">
        <f t="shared" si="28"/>
        <v>0</v>
      </c>
      <c r="N196" s="52"/>
    </row>
    <row r="197" spans="1:14" ht="24">
      <c r="A197" s="50">
        <f t="shared" si="31"/>
        <v>48</v>
      </c>
      <c r="B197" s="74" t="s">
        <v>231</v>
      </c>
      <c r="C197" s="3" t="s">
        <v>136</v>
      </c>
      <c r="D197" s="6"/>
      <c r="E197" s="5"/>
      <c r="F197" s="165">
        <v>1</v>
      </c>
      <c r="G197" s="142">
        <f t="shared" si="25"/>
        <v>0</v>
      </c>
      <c r="H197" s="5">
        <f t="shared" si="26"/>
        <v>0</v>
      </c>
      <c r="I197" s="64">
        <v>1</v>
      </c>
      <c r="J197" s="142">
        <f t="shared" si="27"/>
        <v>0</v>
      </c>
      <c r="K197" s="5">
        <f t="shared" si="30"/>
        <v>0</v>
      </c>
      <c r="L197" s="63">
        <v>1</v>
      </c>
      <c r="M197" s="142">
        <f t="shared" si="28"/>
        <v>0</v>
      </c>
      <c r="N197" s="52"/>
    </row>
    <row r="198" spans="1:14" ht="36">
      <c r="A198" s="50">
        <f t="shared" si="31"/>
        <v>49</v>
      </c>
      <c r="B198" s="74" t="s">
        <v>342</v>
      </c>
      <c r="C198" s="3" t="s">
        <v>454</v>
      </c>
      <c r="D198" s="6"/>
      <c r="E198" s="5"/>
      <c r="F198" s="165">
        <v>1</v>
      </c>
      <c r="G198" s="142">
        <f t="shared" si="25"/>
        <v>0</v>
      </c>
      <c r="H198" s="5">
        <f t="shared" si="26"/>
        <v>0</v>
      </c>
      <c r="I198" s="64">
        <v>1</v>
      </c>
      <c r="J198" s="142">
        <f t="shared" si="27"/>
        <v>0</v>
      </c>
      <c r="K198" s="5">
        <f t="shared" si="30"/>
        <v>0</v>
      </c>
      <c r="L198" s="63">
        <v>1</v>
      </c>
      <c r="M198" s="142">
        <f t="shared" si="28"/>
        <v>0</v>
      </c>
      <c r="N198" s="52"/>
    </row>
    <row r="199" spans="1:14" ht="24">
      <c r="A199" s="50">
        <v>50</v>
      </c>
      <c r="B199" s="74" t="s">
        <v>319</v>
      </c>
      <c r="C199" s="3" t="s">
        <v>156</v>
      </c>
      <c r="D199" s="6"/>
      <c r="E199" s="5"/>
      <c r="F199" s="165">
        <v>1</v>
      </c>
      <c r="G199" s="142">
        <f t="shared" si="25"/>
        <v>0</v>
      </c>
      <c r="H199" s="5">
        <f t="shared" si="26"/>
        <v>0</v>
      </c>
      <c r="I199" s="64">
        <v>1</v>
      </c>
      <c r="J199" s="142">
        <f t="shared" si="27"/>
        <v>0</v>
      </c>
      <c r="K199" s="5">
        <f t="shared" si="30"/>
        <v>0</v>
      </c>
      <c r="L199" s="63">
        <v>1</v>
      </c>
      <c r="M199" s="142">
        <f t="shared" si="28"/>
        <v>0</v>
      </c>
      <c r="N199" s="52"/>
    </row>
    <row r="200" spans="1:14" ht="33.75">
      <c r="A200" s="50">
        <f t="shared" si="31"/>
        <v>51</v>
      </c>
      <c r="B200" s="74" t="s">
        <v>117</v>
      </c>
      <c r="C200" s="3" t="s">
        <v>454</v>
      </c>
      <c r="D200" s="6"/>
      <c r="E200" s="5"/>
      <c r="F200" s="165">
        <v>1</v>
      </c>
      <c r="G200" s="142">
        <f t="shared" si="25"/>
        <v>0</v>
      </c>
      <c r="H200" s="5">
        <f t="shared" si="26"/>
        <v>0</v>
      </c>
      <c r="I200" s="64">
        <v>1</v>
      </c>
      <c r="J200" s="142">
        <f t="shared" si="27"/>
        <v>0</v>
      </c>
      <c r="K200" s="5">
        <f t="shared" si="30"/>
        <v>0</v>
      </c>
      <c r="L200" s="63">
        <v>1</v>
      </c>
      <c r="M200" s="142">
        <f t="shared" si="28"/>
        <v>0</v>
      </c>
      <c r="N200" s="52"/>
    </row>
    <row r="201" spans="1:14" ht="33.75">
      <c r="A201" s="50">
        <f t="shared" si="31"/>
        <v>52</v>
      </c>
      <c r="B201" s="74" t="s">
        <v>120</v>
      </c>
      <c r="C201" s="3" t="s">
        <v>454</v>
      </c>
      <c r="D201" s="6"/>
      <c r="E201" s="5"/>
      <c r="F201" s="165">
        <v>1</v>
      </c>
      <c r="G201" s="142">
        <f t="shared" si="25"/>
        <v>0</v>
      </c>
      <c r="H201" s="5">
        <f t="shared" si="26"/>
        <v>0</v>
      </c>
      <c r="I201" s="64">
        <v>1</v>
      </c>
      <c r="J201" s="142">
        <f t="shared" si="27"/>
        <v>0</v>
      </c>
      <c r="K201" s="5">
        <f t="shared" si="30"/>
        <v>0</v>
      </c>
      <c r="L201" s="63">
        <v>1</v>
      </c>
      <c r="M201" s="142">
        <f t="shared" si="28"/>
        <v>0</v>
      </c>
      <c r="N201" s="52"/>
    </row>
    <row r="202" spans="1:14" ht="22.5">
      <c r="A202" s="50">
        <f t="shared" si="31"/>
        <v>53</v>
      </c>
      <c r="B202" s="74" t="s">
        <v>26</v>
      </c>
      <c r="C202" s="3" t="s">
        <v>27</v>
      </c>
      <c r="D202" s="6"/>
      <c r="E202" s="5"/>
      <c r="F202" s="165">
        <v>1</v>
      </c>
      <c r="G202" s="142">
        <f t="shared" si="25"/>
        <v>0</v>
      </c>
      <c r="H202" s="5">
        <f t="shared" si="26"/>
        <v>0</v>
      </c>
      <c r="I202" s="64">
        <v>1</v>
      </c>
      <c r="J202" s="142">
        <f t="shared" si="27"/>
        <v>0</v>
      </c>
      <c r="K202" s="5">
        <f t="shared" si="30"/>
        <v>0</v>
      </c>
      <c r="L202" s="63">
        <v>1</v>
      </c>
      <c r="M202" s="142">
        <f t="shared" si="28"/>
        <v>0</v>
      </c>
      <c r="N202" s="52"/>
    </row>
    <row r="203" spans="1:14" ht="33.75">
      <c r="A203" s="50">
        <f t="shared" si="31"/>
        <v>54</v>
      </c>
      <c r="B203" s="74" t="s">
        <v>1</v>
      </c>
      <c r="C203" s="3" t="s">
        <v>454</v>
      </c>
      <c r="D203" s="6"/>
      <c r="E203" s="5"/>
      <c r="F203" s="165">
        <v>1</v>
      </c>
      <c r="G203" s="142">
        <f t="shared" si="25"/>
        <v>0</v>
      </c>
      <c r="H203" s="5">
        <f t="shared" si="26"/>
        <v>0</v>
      </c>
      <c r="I203" s="64">
        <v>1</v>
      </c>
      <c r="J203" s="142">
        <f t="shared" si="27"/>
        <v>0</v>
      </c>
      <c r="K203" s="5">
        <f t="shared" si="30"/>
        <v>0</v>
      </c>
      <c r="L203" s="63">
        <v>1</v>
      </c>
      <c r="M203" s="142">
        <f t="shared" si="28"/>
        <v>0</v>
      </c>
      <c r="N203" s="52"/>
    </row>
    <row r="204" spans="1:14" ht="33.75">
      <c r="A204" s="50">
        <f t="shared" si="31"/>
        <v>55</v>
      </c>
      <c r="B204" s="74" t="s">
        <v>372</v>
      </c>
      <c r="C204" s="34" t="s">
        <v>454</v>
      </c>
      <c r="D204" s="6"/>
      <c r="E204" s="5"/>
      <c r="F204" s="165">
        <v>1</v>
      </c>
      <c r="G204" s="142">
        <f t="shared" si="25"/>
        <v>0</v>
      </c>
      <c r="H204" s="5">
        <f t="shared" si="26"/>
        <v>0</v>
      </c>
      <c r="I204" s="64">
        <v>1</v>
      </c>
      <c r="J204" s="142">
        <f t="shared" si="27"/>
        <v>0</v>
      </c>
      <c r="K204" s="5">
        <f t="shared" si="30"/>
        <v>0</v>
      </c>
      <c r="L204" s="63">
        <v>1</v>
      </c>
      <c r="M204" s="142">
        <f t="shared" si="28"/>
        <v>0</v>
      </c>
      <c r="N204" s="52"/>
    </row>
    <row r="205" spans="1:14" ht="36">
      <c r="A205" s="50">
        <f t="shared" si="31"/>
        <v>56</v>
      </c>
      <c r="B205" s="78" t="s">
        <v>412</v>
      </c>
      <c r="C205" s="3" t="s">
        <v>243</v>
      </c>
      <c r="D205" s="6"/>
      <c r="E205" s="5"/>
      <c r="F205" s="165">
        <v>1</v>
      </c>
      <c r="G205" s="142">
        <f t="shared" si="25"/>
        <v>0</v>
      </c>
      <c r="H205" s="5">
        <f t="shared" si="26"/>
        <v>0</v>
      </c>
      <c r="I205" s="64">
        <v>1</v>
      </c>
      <c r="J205" s="142">
        <f t="shared" si="27"/>
        <v>0</v>
      </c>
      <c r="K205" s="5">
        <f t="shared" si="30"/>
        <v>0</v>
      </c>
      <c r="L205" s="63">
        <v>1</v>
      </c>
      <c r="M205" s="142">
        <f t="shared" si="28"/>
        <v>0</v>
      </c>
      <c r="N205" s="52"/>
    </row>
    <row r="206" spans="1:14" ht="22.5">
      <c r="A206" s="50"/>
      <c r="B206" s="74" t="s">
        <v>407</v>
      </c>
      <c r="C206" s="34" t="s">
        <v>408</v>
      </c>
      <c r="D206" s="6"/>
      <c r="E206" s="5"/>
      <c r="F206" s="165">
        <v>1</v>
      </c>
      <c r="G206" s="142">
        <f t="shared" si="25"/>
        <v>0</v>
      </c>
      <c r="H206" s="5">
        <f t="shared" si="26"/>
        <v>0</v>
      </c>
      <c r="I206" s="64">
        <v>1</v>
      </c>
      <c r="J206" s="142">
        <f t="shared" si="27"/>
        <v>0</v>
      </c>
      <c r="K206" s="5">
        <f t="shared" si="30"/>
        <v>0</v>
      </c>
      <c r="L206" s="63">
        <v>1</v>
      </c>
      <c r="M206" s="142">
        <f t="shared" si="28"/>
        <v>0</v>
      </c>
      <c r="N206" s="52"/>
    </row>
    <row r="207" spans="1:14" ht="22.5">
      <c r="A207" s="50"/>
      <c r="B207" s="74" t="s">
        <v>409</v>
      </c>
      <c r="C207" s="34" t="s">
        <v>408</v>
      </c>
      <c r="D207" s="6"/>
      <c r="E207" s="5"/>
      <c r="F207" s="165">
        <v>1</v>
      </c>
      <c r="G207" s="142">
        <f t="shared" si="25"/>
        <v>0</v>
      </c>
      <c r="H207" s="5">
        <f t="shared" si="26"/>
        <v>0</v>
      </c>
      <c r="I207" s="64">
        <v>1</v>
      </c>
      <c r="J207" s="142">
        <f t="shared" si="27"/>
        <v>0</v>
      </c>
      <c r="K207" s="5">
        <f t="shared" si="30"/>
        <v>0</v>
      </c>
      <c r="L207" s="63">
        <v>1</v>
      </c>
      <c r="M207" s="142">
        <f t="shared" si="28"/>
        <v>0</v>
      </c>
      <c r="N207" s="52"/>
    </row>
    <row r="208" spans="1:14" ht="24">
      <c r="A208" s="50"/>
      <c r="B208" s="74" t="s">
        <v>410</v>
      </c>
      <c r="C208" s="34" t="s">
        <v>408</v>
      </c>
      <c r="D208" s="6"/>
      <c r="E208" s="5"/>
      <c r="F208" s="165">
        <v>1</v>
      </c>
      <c r="G208" s="142">
        <f aca="true" t="shared" si="32" ref="G208:G227">ROUND(E208*F208,0)</f>
        <v>0</v>
      </c>
      <c r="H208" s="5">
        <f t="shared" si="26"/>
        <v>0</v>
      </c>
      <c r="I208" s="64">
        <v>1</v>
      </c>
      <c r="J208" s="142">
        <f aca="true" t="shared" si="33" ref="J208:J227">ROUND(H208*I208,0)</f>
        <v>0</v>
      </c>
      <c r="K208" s="5">
        <f t="shared" si="30"/>
        <v>0</v>
      </c>
      <c r="L208" s="63">
        <v>1</v>
      </c>
      <c r="M208" s="142">
        <f aca="true" t="shared" si="34" ref="M208:M227">ROUND(K208*L208,0)</f>
        <v>0</v>
      </c>
      <c r="N208" s="52"/>
    </row>
    <row r="209" spans="1:14" ht="22.5">
      <c r="A209" s="50">
        <f>A205+1</f>
        <v>57</v>
      </c>
      <c r="B209" s="74" t="s">
        <v>315</v>
      </c>
      <c r="C209" s="34" t="s">
        <v>325</v>
      </c>
      <c r="D209" s="6"/>
      <c r="E209" s="5"/>
      <c r="F209" s="165">
        <v>1</v>
      </c>
      <c r="G209" s="142">
        <f t="shared" si="32"/>
        <v>0</v>
      </c>
      <c r="H209" s="5">
        <f t="shared" si="26"/>
        <v>0</v>
      </c>
      <c r="I209" s="64">
        <v>1</v>
      </c>
      <c r="J209" s="142">
        <f t="shared" si="33"/>
        <v>0</v>
      </c>
      <c r="K209" s="5">
        <f aca="true" t="shared" si="35" ref="K209:K227">J209</f>
        <v>0</v>
      </c>
      <c r="L209" s="63">
        <v>1</v>
      </c>
      <c r="M209" s="142">
        <f t="shared" si="34"/>
        <v>0</v>
      </c>
      <c r="N209" s="52"/>
    </row>
    <row r="210" spans="1:14" ht="24">
      <c r="A210" s="50">
        <f aca="true" t="shared" si="36" ref="A210:A215">A209+1</f>
        <v>58</v>
      </c>
      <c r="B210" s="74" t="s">
        <v>437</v>
      </c>
      <c r="C210" s="34" t="s">
        <v>325</v>
      </c>
      <c r="D210" s="6"/>
      <c r="E210" s="5"/>
      <c r="F210" s="165">
        <v>1</v>
      </c>
      <c r="G210" s="142">
        <f t="shared" si="32"/>
        <v>0</v>
      </c>
      <c r="H210" s="5">
        <f t="shared" si="26"/>
        <v>0</v>
      </c>
      <c r="I210" s="64">
        <v>1</v>
      </c>
      <c r="J210" s="142">
        <f t="shared" si="33"/>
        <v>0</v>
      </c>
      <c r="K210" s="5">
        <f t="shared" si="35"/>
        <v>0</v>
      </c>
      <c r="L210" s="63">
        <v>1</v>
      </c>
      <c r="M210" s="142">
        <f t="shared" si="34"/>
        <v>0</v>
      </c>
      <c r="N210" s="52"/>
    </row>
    <row r="211" spans="1:14" ht="22.5">
      <c r="A211" s="50">
        <f t="shared" si="36"/>
        <v>59</v>
      </c>
      <c r="B211" s="74" t="s">
        <v>312</v>
      </c>
      <c r="C211" s="34" t="s">
        <v>326</v>
      </c>
      <c r="D211" s="6"/>
      <c r="E211" s="5"/>
      <c r="F211" s="165">
        <v>1</v>
      </c>
      <c r="G211" s="142">
        <f t="shared" si="32"/>
        <v>0</v>
      </c>
      <c r="H211" s="5">
        <f t="shared" si="26"/>
        <v>0</v>
      </c>
      <c r="I211" s="64">
        <v>1</v>
      </c>
      <c r="J211" s="142">
        <f t="shared" si="33"/>
        <v>0</v>
      </c>
      <c r="K211" s="5">
        <f t="shared" si="35"/>
        <v>0</v>
      </c>
      <c r="L211" s="63">
        <v>1</v>
      </c>
      <c r="M211" s="142">
        <f t="shared" si="34"/>
        <v>0</v>
      </c>
      <c r="N211" s="52"/>
    </row>
    <row r="212" spans="1:14" ht="12">
      <c r="A212" s="50">
        <f t="shared" si="36"/>
        <v>60</v>
      </c>
      <c r="B212" s="74" t="s">
        <v>313</v>
      </c>
      <c r="C212" s="34" t="s">
        <v>156</v>
      </c>
      <c r="D212" s="6"/>
      <c r="E212" s="5"/>
      <c r="F212" s="165">
        <v>1</v>
      </c>
      <c r="G212" s="142">
        <f t="shared" si="32"/>
        <v>0</v>
      </c>
      <c r="H212" s="5">
        <f t="shared" si="26"/>
        <v>0</v>
      </c>
      <c r="I212" s="64">
        <v>1</v>
      </c>
      <c r="J212" s="142">
        <f t="shared" si="33"/>
        <v>0</v>
      </c>
      <c r="K212" s="5">
        <f t="shared" si="35"/>
        <v>0</v>
      </c>
      <c r="L212" s="63">
        <v>1</v>
      </c>
      <c r="M212" s="142">
        <f t="shared" si="34"/>
        <v>0</v>
      </c>
      <c r="N212" s="52"/>
    </row>
    <row r="213" spans="1:14" ht="12">
      <c r="A213" s="50">
        <f t="shared" si="36"/>
        <v>61</v>
      </c>
      <c r="B213" s="74" t="s">
        <v>375</v>
      </c>
      <c r="C213" s="34" t="s">
        <v>156</v>
      </c>
      <c r="D213" s="6"/>
      <c r="E213" s="5"/>
      <c r="F213" s="165">
        <v>1</v>
      </c>
      <c r="G213" s="142">
        <f t="shared" si="32"/>
        <v>0</v>
      </c>
      <c r="H213" s="5">
        <f t="shared" si="26"/>
        <v>0</v>
      </c>
      <c r="I213" s="64">
        <v>1</v>
      </c>
      <c r="J213" s="142">
        <f t="shared" si="33"/>
        <v>0</v>
      </c>
      <c r="K213" s="5">
        <f t="shared" si="35"/>
        <v>0</v>
      </c>
      <c r="L213" s="63">
        <v>1</v>
      </c>
      <c r="M213" s="142">
        <f t="shared" si="34"/>
        <v>0</v>
      </c>
      <c r="N213" s="52"/>
    </row>
    <row r="214" spans="1:14" ht="22.5">
      <c r="A214" s="50">
        <f t="shared" si="36"/>
        <v>62</v>
      </c>
      <c r="B214" s="74" t="s">
        <v>445</v>
      </c>
      <c r="C214" s="34" t="s">
        <v>325</v>
      </c>
      <c r="D214" s="6"/>
      <c r="E214" s="5"/>
      <c r="F214" s="165">
        <v>1</v>
      </c>
      <c r="G214" s="142">
        <f t="shared" si="32"/>
        <v>0</v>
      </c>
      <c r="H214" s="5">
        <f t="shared" si="26"/>
        <v>0</v>
      </c>
      <c r="I214" s="64">
        <v>1</v>
      </c>
      <c r="J214" s="142">
        <f t="shared" si="33"/>
        <v>0</v>
      </c>
      <c r="K214" s="5">
        <f t="shared" si="35"/>
        <v>0</v>
      </c>
      <c r="L214" s="63">
        <v>1</v>
      </c>
      <c r="M214" s="142">
        <f t="shared" si="34"/>
        <v>0</v>
      </c>
      <c r="N214" s="52"/>
    </row>
    <row r="215" spans="1:14" ht="24">
      <c r="A215" s="50">
        <f t="shared" si="36"/>
        <v>63</v>
      </c>
      <c r="B215" s="95" t="s">
        <v>66</v>
      </c>
      <c r="C215" s="34"/>
      <c r="D215" s="96"/>
      <c r="E215" s="5"/>
      <c r="F215" s="165">
        <v>1</v>
      </c>
      <c r="G215" s="142">
        <f t="shared" si="32"/>
        <v>0</v>
      </c>
      <c r="H215" s="5">
        <f aca="true" t="shared" si="37" ref="H215:H227">G215</f>
        <v>0</v>
      </c>
      <c r="I215" s="64">
        <v>1</v>
      </c>
      <c r="J215" s="142">
        <f t="shared" si="33"/>
        <v>0</v>
      </c>
      <c r="K215" s="5">
        <f t="shared" si="35"/>
        <v>0</v>
      </c>
      <c r="L215" s="63">
        <v>1</v>
      </c>
      <c r="M215" s="142">
        <f t="shared" si="34"/>
        <v>0</v>
      </c>
      <c r="N215" s="55"/>
    </row>
    <row r="216" spans="1:14" ht="22.5">
      <c r="A216" s="72"/>
      <c r="B216" s="74" t="s">
        <v>123</v>
      </c>
      <c r="C216" s="34" t="s">
        <v>401</v>
      </c>
      <c r="D216" s="6"/>
      <c r="E216" s="5"/>
      <c r="F216" s="165">
        <v>1</v>
      </c>
      <c r="G216" s="142">
        <f t="shared" si="32"/>
        <v>0</v>
      </c>
      <c r="H216" s="5">
        <f t="shared" si="37"/>
        <v>0</v>
      </c>
      <c r="I216" s="64">
        <v>1</v>
      </c>
      <c r="J216" s="142">
        <f t="shared" si="33"/>
        <v>0</v>
      </c>
      <c r="K216" s="5">
        <f t="shared" si="35"/>
        <v>0</v>
      </c>
      <c r="L216" s="63">
        <v>1</v>
      </c>
      <c r="M216" s="142">
        <f t="shared" si="34"/>
        <v>0</v>
      </c>
      <c r="N216" s="52"/>
    </row>
    <row r="217" spans="1:14" ht="24">
      <c r="A217" s="72"/>
      <c r="B217" s="74" t="s">
        <v>122</v>
      </c>
      <c r="C217" s="34" t="s">
        <v>401</v>
      </c>
      <c r="D217" s="6"/>
      <c r="E217" s="5"/>
      <c r="F217" s="165">
        <v>1</v>
      </c>
      <c r="G217" s="142">
        <f t="shared" si="32"/>
        <v>0</v>
      </c>
      <c r="H217" s="5">
        <f t="shared" si="37"/>
        <v>0</v>
      </c>
      <c r="I217" s="64">
        <v>1</v>
      </c>
      <c r="J217" s="142">
        <f t="shared" si="33"/>
        <v>0</v>
      </c>
      <c r="K217" s="5">
        <f t="shared" si="35"/>
        <v>0</v>
      </c>
      <c r="L217" s="63">
        <v>1</v>
      </c>
      <c r="M217" s="142">
        <f t="shared" si="34"/>
        <v>0</v>
      </c>
      <c r="N217" s="52"/>
    </row>
    <row r="218" spans="1:14" ht="22.5">
      <c r="A218" s="72"/>
      <c r="B218" s="74" t="s">
        <v>124</v>
      </c>
      <c r="C218" s="34" t="s">
        <v>401</v>
      </c>
      <c r="D218" s="6"/>
      <c r="E218" s="5"/>
      <c r="F218" s="165">
        <v>1</v>
      </c>
      <c r="G218" s="142">
        <f t="shared" si="32"/>
        <v>0</v>
      </c>
      <c r="H218" s="5">
        <f t="shared" si="37"/>
        <v>0</v>
      </c>
      <c r="I218" s="64">
        <v>1</v>
      </c>
      <c r="J218" s="142">
        <f t="shared" si="33"/>
        <v>0</v>
      </c>
      <c r="K218" s="5">
        <f t="shared" si="35"/>
        <v>0</v>
      </c>
      <c r="L218" s="63">
        <v>1</v>
      </c>
      <c r="M218" s="142">
        <f t="shared" si="34"/>
        <v>0</v>
      </c>
      <c r="N218" s="52"/>
    </row>
    <row r="219" spans="1:14" ht="22.5">
      <c r="A219" s="72"/>
      <c r="B219" s="74" t="s">
        <v>125</v>
      </c>
      <c r="C219" s="34" t="s">
        <v>401</v>
      </c>
      <c r="D219" s="6"/>
      <c r="E219" s="5"/>
      <c r="F219" s="165">
        <v>1</v>
      </c>
      <c r="G219" s="142">
        <f t="shared" si="32"/>
        <v>0</v>
      </c>
      <c r="H219" s="5">
        <f t="shared" si="37"/>
        <v>0</v>
      </c>
      <c r="I219" s="64">
        <v>1</v>
      </c>
      <c r="J219" s="142">
        <f t="shared" si="33"/>
        <v>0</v>
      </c>
      <c r="K219" s="5">
        <f t="shared" si="35"/>
        <v>0</v>
      </c>
      <c r="L219" s="63">
        <v>1</v>
      </c>
      <c r="M219" s="142">
        <f t="shared" si="34"/>
        <v>0</v>
      </c>
      <c r="N219" s="52"/>
    </row>
    <row r="220" spans="1:14" ht="24">
      <c r="A220" s="72"/>
      <c r="B220" s="74" t="s">
        <v>126</v>
      </c>
      <c r="C220" s="3" t="s">
        <v>401</v>
      </c>
      <c r="D220" s="6"/>
      <c r="E220" s="5"/>
      <c r="F220" s="165">
        <v>1</v>
      </c>
      <c r="G220" s="142">
        <f t="shared" si="32"/>
        <v>0</v>
      </c>
      <c r="H220" s="5">
        <f t="shared" si="37"/>
        <v>0</v>
      </c>
      <c r="I220" s="64">
        <v>1</v>
      </c>
      <c r="J220" s="142">
        <f t="shared" si="33"/>
        <v>0</v>
      </c>
      <c r="K220" s="5">
        <f t="shared" si="35"/>
        <v>0</v>
      </c>
      <c r="L220" s="63">
        <v>1</v>
      </c>
      <c r="M220" s="142">
        <f t="shared" si="34"/>
        <v>0</v>
      </c>
      <c r="N220" s="52"/>
    </row>
    <row r="221" spans="1:14" ht="24">
      <c r="A221" s="72"/>
      <c r="B221" s="74" t="s">
        <v>128</v>
      </c>
      <c r="C221" s="3" t="s">
        <v>401</v>
      </c>
      <c r="D221" s="6"/>
      <c r="E221" s="5"/>
      <c r="F221" s="165">
        <v>1</v>
      </c>
      <c r="G221" s="142">
        <f t="shared" si="32"/>
        <v>0</v>
      </c>
      <c r="H221" s="5">
        <f t="shared" si="37"/>
        <v>0</v>
      </c>
      <c r="I221" s="64">
        <v>1</v>
      </c>
      <c r="J221" s="142">
        <f t="shared" si="33"/>
        <v>0</v>
      </c>
      <c r="K221" s="5">
        <f t="shared" si="35"/>
        <v>0</v>
      </c>
      <c r="L221" s="63">
        <v>1</v>
      </c>
      <c r="M221" s="142">
        <f t="shared" si="34"/>
        <v>0</v>
      </c>
      <c r="N221" s="52"/>
    </row>
    <row r="222" spans="1:14" ht="22.5">
      <c r="A222" s="72"/>
      <c r="B222" s="74" t="s">
        <v>132</v>
      </c>
      <c r="C222" s="3" t="s">
        <v>404</v>
      </c>
      <c r="D222" s="6"/>
      <c r="E222" s="5"/>
      <c r="F222" s="165">
        <v>1</v>
      </c>
      <c r="G222" s="142">
        <f t="shared" si="32"/>
        <v>0</v>
      </c>
      <c r="H222" s="5">
        <f t="shared" si="37"/>
        <v>0</v>
      </c>
      <c r="I222" s="64">
        <v>1</v>
      </c>
      <c r="J222" s="142">
        <f t="shared" si="33"/>
        <v>0</v>
      </c>
      <c r="K222" s="5">
        <f t="shared" si="35"/>
        <v>0</v>
      </c>
      <c r="L222" s="63">
        <v>1</v>
      </c>
      <c r="M222" s="142">
        <f t="shared" si="34"/>
        <v>0</v>
      </c>
      <c r="N222" s="52"/>
    </row>
    <row r="223" spans="1:14" ht="24">
      <c r="A223" s="72"/>
      <c r="B223" s="74" t="s">
        <v>259</v>
      </c>
      <c r="C223" s="3" t="s">
        <v>419</v>
      </c>
      <c r="D223" s="6"/>
      <c r="E223" s="5"/>
      <c r="F223" s="165">
        <v>1</v>
      </c>
      <c r="G223" s="142">
        <f t="shared" si="32"/>
        <v>0</v>
      </c>
      <c r="H223" s="5">
        <f t="shared" si="37"/>
        <v>0</v>
      </c>
      <c r="I223" s="64">
        <v>1</v>
      </c>
      <c r="J223" s="142">
        <f t="shared" si="33"/>
        <v>0</v>
      </c>
      <c r="K223" s="5">
        <f t="shared" si="35"/>
        <v>0</v>
      </c>
      <c r="L223" s="63">
        <v>1</v>
      </c>
      <c r="M223" s="142">
        <f t="shared" si="34"/>
        <v>0</v>
      </c>
      <c r="N223" s="52"/>
    </row>
    <row r="224" spans="1:14" ht="22.5">
      <c r="A224" s="72"/>
      <c r="B224" s="74" t="s">
        <v>323</v>
      </c>
      <c r="C224" s="3" t="s">
        <v>419</v>
      </c>
      <c r="D224" s="6"/>
      <c r="E224" s="5"/>
      <c r="F224" s="165">
        <v>1</v>
      </c>
      <c r="G224" s="142">
        <f t="shared" si="32"/>
        <v>0</v>
      </c>
      <c r="H224" s="5">
        <f t="shared" si="37"/>
        <v>0</v>
      </c>
      <c r="I224" s="64">
        <v>1</v>
      </c>
      <c r="J224" s="142">
        <f t="shared" si="33"/>
        <v>0</v>
      </c>
      <c r="K224" s="5">
        <f t="shared" si="35"/>
        <v>0</v>
      </c>
      <c r="L224" s="63">
        <v>1</v>
      </c>
      <c r="M224" s="142">
        <f t="shared" si="34"/>
        <v>0</v>
      </c>
      <c r="N224" s="52"/>
    </row>
    <row r="225" spans="1:14" ht="24">
      <c r="A225" s="72"/>
      <c r="B225" s="74" t="s">
        <v>316</v>
      </c>
      <c r="C225" s="3" t="s">
        <v>420</v>
      </c>
      <c r="D225" s="6"/>
      <c r="E225" s="5"/>
      <c r="F225" s="165">
        <v>1</v>
      </c>
      <c r="G225" s="142">
        <f t="shared" si="32"/>
        <v>0</v>
      </c>
      <c r="H225" s="5">
        <f t="shared" si="37"/>
        <v>0</v>
      </c>
      <c r="I225" s="64">
        <v>1</v>
      </c>
      <c r="J225" s="142">
        <f t="shared" si="33"/>
        <v>0</v>
      </c>
      <c r="K225" s="5">
        <f t="shared" si="35"/>
        <v>0</v>
      </c>
      <c r="L225" s="63">
        <v>1</v>
      </c>
      <c r="M225" s="142">
        <f t="shared" si="34"/>
        <v>0</v>
      </c>
      <c r="N225" s="52"/>
    </row>
    <row r="226" spans="1:14" ht="22.5">
      <c r="A226" s="73"/>
      <c r="B226" s="74" t="s">
        <v>133</v>
      </c>
      <c r="C226" s="3" t="s">
        <v>258</v>
      </c>
      <c r="D226" s="6"/>
      <c r="E226" s="5"/>
      <c r="F226" s="165">
        <v>1</v>
      </c>
      <c r="G226" s="142">
        <f t="shared" si="32"/>
        <v>0</v>
      </c>
      <c r="H226" s="5">
        <f t="shared" si="37"/>
        <v>0</v>
      </c>
      <c r="I226" s="64">
        <v>1</v>
      </c>
      <c r="J226" s="142">
        <f t="shared" si="33"/>
        <v>0</v>
      </c>
      <c r="K226" s="5">
        <f t="shared" si="35"/>
        <v>0</v>
      </c>
      <c r="L226" s="63">
        <v>1</v>
      </c>
      <c r="M226" s="142">
        <f t="shared" si="34"/>
        <v>0</v>
      </c>
      <c r="N226" s="52"/>
    </row>
    <row r="227" spans="1:14" ht="45">
      <c r="A227" s="50">
        <f>1+A215</f>
        <v>64</v>
      </c>
      <c r="B227" s="74" t="s">
        <v>248</v>
      </c>
      <c r="C227" s="3" t="s">
        <v>335</v>
      </c>
      <c r="D227" s="27"/>
      <c r="E227" s="5"/>
      <c r="F227" s="165">
        <v>1</v>
      </c>
      <c r="G227" s="142">
        <f t="shared" si="32"/>
        <v>0</v>
      </c>
      <c r="H227" s="5">
        <f t="shared" si="37"/>
        <v>0</v>
      </c>
      <c r="I227" s="64">
        <v>1</v>
      </c>
      <c r="J227" s="142">
        <f t="shared" si="33"/>
        <v>0</v>
      </c>
      <c r="K227" s="5">
        <f t="shared" si="35"/>
        <v>0</v>
      </c>
      <c r="L227" s="63">
        <v>1</v>
      </c>
      <c r="M227" s="142">
        <f t="shared" si="34"/>
        <v>0</v>
      </c>
      <c r="N227" s="54"/>
    </row>
    <row r="228" spans="1:36" s="10" customFormat="1" ht="12">
      <c r="A228" s="33"/>
      <c r="B228" s="79" t="s">
        <v>150</v>
      </c>
      <c r="C228" s="70"/>
      <c r="D228" s="15">
        <f>ROUND(SUM(D143:D227),2)</f>
        <v>0</v>
      </c>
      <c r="E228" s="15">
        <f>ROUND(SUM(E143:E227),2)</f>
        <v>0</v>
      </c>
      <c r="F228" s="15"/>
      <c r="G228" s="15">
        <f>ROUND(SUM(G143:G227),0)</f>
        <v>0</v>
      </c>
      <c r="H228" s="15">
        <f>ROUND(SUM(H143:H227),2)</f>
        <v>0</v>
      </c>
      <c r="I228" s="15"/>
      <c r="J228" s="15">
        <f>ROUND(SUM(J143:J227),0)</f>
        <v>0</v>
      </c>
      <c r="K228" s="15">
        <f>ROUND(SUM(K143:K227),2)</f>
        <v>0</v>
      </c>
      <c r="L228" s="15"/>
      <c r="M228" s="15">
        <f>ROUND(SUM(M143:M227),0)</f>
        <v>0</v>
      </c>
      <c r="N228" s="56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</row>
    <row r="229" spans="1:14" ht="12">
      <c r="A229" s="84" t="s">
        <v>129</v>
      </c>
      <c r="B229" s="85"/>
      <c r="C229" s="99"/>
      <c r="D229" s="87"/>
      <c r="E229" s="88"/>
      <c r="F229" s="89"/>
      <c r="G229" s="90"/>
      <c r="H229" s="88"/>
      <c r="I229" s="89"/>
      <c r="J229" s="90"/>
      <c r="K229" s="88"/>
      <c r="L229" s="89"/>
      <c r="M229" s="90"/>
      <c r="N229" s="91"/>
    </row>
    <row r="230" spans="1:14" ht="96">
      <c r="A230" s="224">
        <v>1</v>
      </c>
      <c r="B230" s="225" t="s">
        <v>413</v>
      </c>
      <c r="C230" s="226" t="s">
        <v>156</v>
      </c>
      <c r="D230" s="227"/>
      <c r="E230" s="228"/>
      <c r="F230" s="229">
        <v>1</v>
      </c>
      <c r="G230" s="230">
        <f>ROUND(E230*F230,0)</f>
        <v>0</v>
      </c>
      <c r="H230" s="228">
        <f>G230</f>
        <v>0</v>
      </c>
      <c r="I230" s="141">
        <v>1</v>
      </c>
      <c r="J230" s="230">
        <f>ROUND(H230*I230,0)</f>
        <v>0</v>
      </c>
      <c r="K230" s="231">
        <f>J230</f>
        <v>0</v>
      </c>
      <c r="L230" s="232">
        <v>1</v>
      </c>
      <c r="M230" s="230">
        <f>ROUND(K230*L230,0)</f>
        <v>0</v>
      </c>
      <c r="N230" s="233"/>
    </row>
    <row r="231" spans="1:36" s="10" customFormat="1" ht="12">
      <c r="A231" s="49"/>
      <c r="B231" s="79" t="s">
        <v>151</v>
      </c>
      <c r="C231" s="70"/>
      <c r="D231" s="15">
        <f>ROUNDDOWN(SUM(D230:D230),2)</f>
        <v>0</v>
      </c>
      <c r="E231" s="15">
        <f>ROUNDDOWN(SUM(E230:E230),2)</f>
        <v>0</v>
      </c>
      <c r="F231" s="15"/>
      <c r="G231" s="15">
        <f>ROUNDDOWN(SUM(G230:G230),0)</f>
        <v>0</v>
      </c>
      <c r="H231" s="15">
        <f>ROUNDDOWN(SUM(H230:H230),2)</f>
        <v>0</v>
      </c>
      <c r="I231" s="15"/>
      <c r="J231" s="15">
        <f>ROUNDDOWN(SUM(J230:J230),0)</f>
        <v>0</v>
      </c>
      <c r="K231" s="15">
        <f>ROUNDDOWN(SUM(K230:K230),2)</f>
        <v>0</v>
      </c>
      <c r="L231" s="15"/>
      <c r="M231" s="15">
        <f>ROUNDDOWN(SUM(M230:M230),0)</f>
        <v>0</v>
      </c>
      <c r="N231" s="56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</row>
    <row r="232" spans="1:14" ht="12">
      <c r="A232" s="84" t="s">
        <v>139</v>
      </c>
      <c r="B232" s="85"/>
      <c r="C232" s="99"/>
      <c r="D232" s="87"/>
      <c r="E232" s="88"/>
      <c r="F232" s="89"/>
      <c r="G232" s="90"/>
      <c r="H232" s="88"/>
      <c r="I232" s="89"/>
      <c r="J232" s="90"/>
      <c r="K232" s="88"/>
      <c r="L232" s="89"/>
      <c r="M232" s="90"/>
      <c r="N232" s="91"/>
    </row>
    <row r="233" spans="1:36" s="97" customFormat="1" ht="24">
      <c r="A233" s="50">
        <v>1</v>
      </c>
      <c r="B233" s="74" t="s">
        <v>476</v>
      </c>
      <c r="C233" s="3" t="s">
        <v>91</v>
      </c>
      <c r="D233" s="6"/>
      <c r="E233" s="5"/>
      <c r="F233" s="63">
        <v>1</v>
      </c>
      <c r="G233" s="1">
        <f>ROUND(E233*F233,0)</f>
        <v>0</v>
      </c>
      <c r="H233" s="5">
        <f>G233</f>
        <v>0</v>
      </c>
      <c r="I233" s="64">
        <v>1</v>
      </c>
      <c r="J233" s="1">
        <f>ROUND(H233*I233,0)</f>
        <v>0</v>
      </c>
      <c r="K233" s="5">
        <f>J233</f>
        <v>0</v>
      </c>
      <c r="L233" s="63">
        <v>1</v>
      </c>
      <c r="M233" s="1">
        <f>ROUND(K233*L233,0)</f>
        <v>0</v>
      </c>
      <c r="N233" s="52"/>
      <c r="O233" s="12"/>
      <c r="P233" s="12"/>
      <c r="Q233" s="12"/>
      <c r="R233" s="1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128"/>
      <c r="AE233" s="128"/>
      <c r="AF233" s="128"/>
      <c r="AG233" s="128"/>
      <c r="AH233" s="128"/>
      <c r="AI233" s="128"/>
      <c r="AJ233" s="128"/>
    </row>
    <row r="234" spans="1:14" ht="60">
      <c r="A234" s="50">
        <f>1+A233</f>
        <v>2</v>
      </c>
      <c r="B234" s="75" t="s">
        <v>376</v>
      </c>
      <c r="C234" s="4" t="s">
        <v>156</v>
      </c>
      <c r="D234" s="36"/>
      <c r="E234" s="5"/>
      <c r="F234" s="63">
        <v>1</v>
      </c>
      <c r="G234" s="1">
        <f>ROUND(E234*F234,0)</f>
        <v>0</v>
      </c>
      <c r="H234" s="5">
        <f>G234</f>
        <v>0</v>
      </c>
      <c r="I234" s="64">
        <v>1</v>
      </c>
      <c r="J234" s="1">
        <f>ROUND(H234*I234,0)</f>
        <v>0</v>
      </c>
      <c r="K234" s="5">
        <f>J234</f>
        <v>0</v>
      </c>
      <c r="L234" s="63">
        <v>1</v>
      </c>
      <c r="M234" s="1">
        <f>ROUND(K234*L234,0)</f>
        <v>0</v>
      </c>
      <c r="N234" s="57"/>
    </row>
    <row r="235" spans="1:14" ht="60">
      <c r="A235" s="50">
        <f>1+A234</f>
        <v>3</v>
      </c>
      <c r="B235" s="75" t="s">
        <v>399</v>
      </c>
      <c r="C235" s="4" t="s">
        <v>325</v>
      </c>
      <c r="D235" s="36"/>
      <c r="E235" s="5"/>
      <c r="F235" s="63">
        <v>1</v>
      </c>
      <c r="G235" s="1">
        <f>ROUND(E235*F235,0)</f>
        <v>0</v>
      </c>
      <c r="H235" s="5">
        <f>G235</f>
        <v>0</v>
      </c>
      <c r="I235" s="64">
        <v>1</v>
      </c>
      <c r="J235" s="1">
        <f>ROUND(H235*I235,0)</f>
        <v>0</v>
      </c>
      <c r="K235" s="5">
        <f>J235</f>
        <v>0</v>
      </c>
      <c r="L235" s="63">
        <v>1</v>
      </c>
      <c r="M235" s="1">
        <f>ROUND(K235*L235,0)</f>
        <v>0</v>
      </c>
      <c r="N235" s="57"/>
    </row>
    <row r="236" spans="1:36" s="10" customFormat="1" ht="36.75" customHeight="1">
      <c r="A236" s="50">
        <f>A235+1</f>
        <v>4</v>
      </c>
      <c r="B236" s="75" t="s">
        <v>248</v>
      </c>
      <c r="C236" s="4" t="s">
        <v>335</v>
      </c>
      <c r="D236" s="37"/>
      <c r="E236" s="5"/>
      <c r="F236" s="63">
        <v>1</v>
      </c>
      <c r="G236" s="1">
        <f>ROUND(E236*F236,0)</f>
        <v>0</v>
      </c>
      <c r="H236" s="5">
        <f>G236</f>
        <v>0</v>
      </c>
      <c r="I236" s="64">
        <v>1</v>
      </c>
      <c r="J236" s="1">
        <f>ROUND(H236*I236,0)</f>
        <v>0</v>
      </c>
      <c r="K236" s="5">
        <f>J236</f>
        <v>0</v>
      </c>
      <c r="L236" s="63">
        <v>1</v>
      </c>
      <c r="M236" s="1">
        <f>ROUND(K236*L236,0)</f>
        <v>0</v>
      </c>
      <c r="N236" s="58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7"/>
    </row>
    <row r="237" spans="1:14" ht="12">
      <c r="A237" s="33"/>
      <c r="B237" s="79" t="s">
        <v>152</v>
      </c>
      <c r="C237" s="153"/>
      <c r="D237" s="154">
        <f>ROUNDDOWN(SUM(D233:D236),2)</f>
        <v>0</v>
      </c>
      <c r="E237" s="154">
        <f>ROUNDDOWN(SUM(E233:E236),2)</f>
        <v>0</v>
      </c>
      <c r="F237" s="154"/>
      <c r="G237" s="154">
        <f>ROUNDDOWN(SUM(G233:G236),0)</f>
        <v>0</v>
      </c>
      <c r="H237" s="154">
        <f>ROUNDDOWN(SUM(H233:H236),2)</f>
        <v>0</v>
      </c>
      <c r="I237" s="154"/>
      <c r="J237" s="154">
        <f>ROUNDDOWN(SUM(J233:J236),0)</f>
        <v>0</v>
      </c>
      <c r="K237" s="154">
        <f>ROUNDDOWN(SUM(K233:K236),2)</f>
        <v>0</v>
      </c>
      <c r="L237" s="154"/>
      <c r="M237" s="154">
        <f>ROUNDDOWN(SUM(M233:M236),0)</f>
        <v>0</v>
      </c>
      <c r="N237" s="60"/>
    </row>
    <row r="238" spans="1:14" ht="12">
      <c r="A238" s="84" t="s">
        <v>159</v>
      </c>
      <c r="B238" s="85"/>
      <c r="C238" s="99"/>
      <c r="D238" s="87"/>
      <c r="E238" s="88"/>
      <c r="F238" s="89"/>
      <c r="G238" s="243"/>
      <c r="H238" s="88"/>
      <c r="I238" s="89"/>
      <c r="J238" s="243"/>
      <c r="K238" s="88"/>
      <c r="L238" s="89"/>
      <c r="M238" s="243"/>
      <c r="N238" s="91"/>
    </row>
    <row r="239" spans="1:14" ht="24">
      <c r="A239" s="72">
        <v>1</v>
      </c>
      <c r="B239" s="234" t="s">
        <v>296</v>
      </c>
      <c r="C239" s="235"/>
      <c r="D239" s="218"/>
      <c r="E239" s="219"/>
      <c r="F239" s="220"/>
      <c r="G239" s="221"/>
      <c r="H239" s="219"/>
      <c r="I239" s="220"/>
      <c r="J239" s="221"/>
      <c r="K239" s="219"/>
      <c r="L239" s="220"/>
      <c r="M239" s="221"/>
      <c r="N239" s="222"/>
    </row>
    <row r="240" spans="1:14" ht="24">
      <c r="A240" s="72"/>
      <c r="B240" s="74" t="s">
        <v>140</v>
      </c>
      <c r="C240" s="3" t="s">
        <v>269</v>
      </c>
      <c r="D240" s="6"/>
      <c r="E240" s="5">
        <v>94925.26</v>
      </c>
      <c r="F240" s="63">
        <v>1</v>
      </c>
      <c r="G240" s="1">
        <f>ROUND(E240*F240,0)</f>
        <v>94925</v>
      </c>
      <c r="H240" s="5">
        <f aca="true" t="shared" si="38" ref="H240:H304">G240</f>
        <v>94925</v>
      </c>
      <c r="I240" s="64">
        <v>1</v>
      </c>
      <c r="J240" s="1">
        <f>ROUND(H240*I240,0)</f>
        <v>94925</v>
      </c>
      <c r="K240" s="5">
        <f aca="true" t="shared" si="39" ref="K240:K304">J240</f>
        <v>94925</v>
      </c>
      <c r="L240" s="63">
        <v>1</v>
      </c>
      <c r="M240" s="1">
        <f>ROUND(K240*L240,0)</f>
        <v>94925</v>
      </c>
      <c r="N240" s="52"/>
    </row>
    <row r="241" spans="1:14" ht="24">
      <c r="A241" s="72"/>
      <c r="B241" s="74" t="s">
        <v>141</v>
      </c>
      <c r="C241" s="3" t="s">
        <v>270</v>
      </c>
      <c r="D241" s="6"/>
      <c r="E241" s="5"/>
      <c r="F241" s="63">
        <v>1</v>
      </c>
      <c r="G241" s="1">
        <f aca="true" t="shared" si="40" ref="G241:G304">ROUND(E241*F241,0)</f>
        <v>0</v>
      </c>
      <c r="H241" s="5">
        <f t="shared" si="38"/>
        <v>0</v>
      </c>
      <c r="I241" s="64">
        <v>1</v>
      </c>
      <c r="J241" s="1">
        <f aca="true" t="shared" si="41" ref="J241:J304">ROUND(H241*I241,0)</f>
        <v>0</v>
      </c>
      <c r="K241" s="5">
        <f t="shared" si="39"/>
        <v>0</v>
      </c>
      <c r="L241" s="63">
        <v>1</v>
      </c>
      <c r="M241" s="1">
        <f aca="true" t="shared" si="42" ref="M241:M304">ROUND(K241*L241,0)</f>
        <v>0</v>
      </c>
      <c r="N241" s="52"/>
    </row>
    <row r="242" spans="1:14" ht="12">
      <c r="A242" s="72"/>
      <c r="B242" s="74" t="s">
        <v>142</v>
      </c>
      <c r="C242" s="3" t="s">
        <v>269</v>
      </c>
      <c r="D242" s="6"/>
      <c r="E242" s="5"/>
      <c r="F242" s="63">
        <v>1</v>
      </c>
      <c r="G242" s="1">
        <f t="shared" si="40"/>
        <v>0</v>
      </c>
      <c r="H242" s="5">
        <f t="shared" si="38"/>
        <v>0</v>
      </c>
      <c r="I242" s="64">
        <v>1</v>
      </c>
      <c r="J242" s="1">
        <f t="shared" si="41"/>
        <v>0</v>
      </c>
      <c r="K242" s="5">
        <f t="shared" si="39"/>
        <v>0</v>
      </c>
      <c r="L242" s="63">
        <v>1</v>
      </c>
      <c r="M242" s="1">
        <f t="shared" si="42"/>
        <v>0</v>
      </c>
      <c r="N242" s="52"/>
    </row>
    <row r="243" spans="1:14" ht="24">
      <c r="A243" s="72"/>
      <c r="B243" s="74" t="s">
        <v>143</v>
      </c>
      <c r="C243" s="3" t="s">
        <v>269</v>
      </c>
      <c r="D243" s="6"/>
      <c r="E243" s="5"/>
      <c r="F243" s="63">
        <v>1</v>
      </c>
      <c r="G243" s="1">
        <f t="shared" si="40"/>
        <v>0</v>
      </c>
      <c r="H243" s="5">
        <f t="shared" si="38"/>
        <v>0</v>
      </c>
      <c r="I243" s="64">
        <v>1</v>
      </c>
      <c r="J243" s="1">
        <f t="shared" si="41"/>
        <v>0</v>
      </c>
      <c r="K243" s="5">
        <f t="shared" si="39"/>
        <v>0</v>
      </c>
      <c r="L243" s="63">
        <v>1</v>
      </c>
      <c r="M243" s="1">
        <f t="shared" si="42"/>
        <v>0</v>
      </c>
      <c r="N243" s="52"/>
    </row>
    <row r="244" spans="1:14" ht="24">
      <c r="A244" s="72"/>
      <c r="B244" s="74" t="s">
        <v>153</v>
      </c>
      <c r="C244" s="3" t="s">
        <v>269</v>
      </c>
      <c r="D244" s="6"/>
      <c r="E244" s="5"/>
      <c r="F244" s="63">
        <v>1</v>
      </c>
      <c r="G244" s="1">
        <f t="shared" si="40"/>
        <v>0</v>
      </c>
      <c r="H244" s="5">
        <f t="shared" si="38"/>
        <v>0</v>
      </c>
      <c r="I244" s="64">
        <v>1</v>
      </c>
      <c r="J244" s="1">
        <f t="shared" si="41"/>
        <v>0</v>
      </c>
      <c r="K244" s="5">
        <f t="shared" si="39"/>
        <v>0</v>
      </c>
      <c r="L244" s="63">
        <v>1</v>
      </c>
      <c r="M244" s="1">
        <f t="shared" si="42"/>
        <v>0</v>
      </c>
      <c r="N244" s="52"/>
    </row>
    <row r="245" spans="1:14" ht="24">
      <c r="A245" s="73"/>
      <c r="B245" s="74" t="s">
        <v>154</v>
      </c>
      <c r="C245" s="3" t="s">
        <v>155</v>
      </c>
      <c r="D245" s="6"/>
      <c r="E245" s="5"/>
      <c r="F245" s="63">
        <v>1</v>
      </c>
      <c r="G245" s="1">
        <f t="shared" si="40"/>
        <v>0</v>
      </c>
      <c r="H245" s="5">
        <f t="shared" si="38"/>
        <v>0</v>
      </c>
      <c r="I245" s="64">
        <v>1</v>
      </c>
      <c r="J245" s="1">
        <f t="shared" si="41"/>
        <v>0</v>
      </c>
      <c r="K245" s="5">
        <f t="shared" si="39"/>
        <v>0</v>
      </c>
      <c r="L245" s="63">
        <v>1</v>
      </c>
      <c r="M245" s="1">
        <f t="shared" si="42"/>
        <v>0</v>
      </c>
      <c r="N245" s="52"/>
    </row>
    <row r="246" spans="1:14" ht="12">
      <c r="A246" s="71">
        <f>1+A239</f>
        <v>2</v>
      </c>
      <c r="B246" s="78" t="s">
        <v>297</v>
      </c>
      <c r="C246" s="38"/>
      <c r="D246" s="32"/>
      <c r="E246" s="5"/>
      <c r="F246" s="63"/>
      <c r="G246" s="1">
        <f t="shared" si="40"/>
        <v>0</v>
      </c>
      <c r="H246" s="5"/>
      <c r="I246" s="64"/>
      <c r="J246" s="1">
        <f t="shared" si="41"/>
        <v>0</v>
      </c>
      <c r="K246" s="5"/>
      <c r="L246" s="63"/>
      <c r="M246" s="1">
        <f t="shared" si="42"/>
        <v>0</v>
      </c>
      <c r="N246" s="55"/>
    </row>
    <row r="247" spans="1:14" ht="22.5">
      <c r="A247" s="72"/>
      <c r="B247" s="74" t="s">
        <v>161</v>
      </c>
      <c r="C247" s="3" t="s">
        <v>271</v>
      </c>
      <c r="D247" s="6"/>
      <c r="E247" s="5"/>
      <c r="F247" s="63">
        <v>1</v>
      </c>
      <c r="G247" s="1">
        <f t="shared" si="40"/>
        <v>0</v>
      </c>
      <c r="H247" s="5">
        <f t="shared" si="38"/>
        <v>0</v>
      </c>
      <c r="I247" s="64">
        <v>1</v>
      </c>
      <c r="J247" s="1">
        <f t="shared" si="41"/>
        <v>0</v>
      </c>
      <c r="K247" s="5">
        <f t="shared" si="39"/>
        <v>0</v>
      </c>
      <c r="L247" s="63">
        <v>1</v>
      </c>
      <c r="M247" s="1">
        <f t="shared" si="42"/>
        <v>0</v>
      </c>
      <c r="N247" s="52"/>
    </row>
    <row r="248" spans="1:14" ht="24">
      <c r="A248" s="72"/>
      <c r="B248" s="74" t="s">
        <v>162</v>
      </c>
      <c r="C248" s="3" t="s">
        <v>272</v>
      </c>
      <c r="D248" s="6"/>
      <c r="E248" s="5"/>
      <c r="F248" s="63">
        <v>1</v>
      </c>
      <c r="G248" s="1">
        <f t="shared" si="40"/>
        <v>0</v>
      </c>
      <c r="H248" s="5">
        <f t="shared" si="38"/>
        <v>0</v>
      </c>
      <c r="I248" s="64">
        <v>1</v>
      </c>
      <c r="J248" s="1">
        <f t="shared" si="41"/>
        <v>0</v>
      </c>
      <c r="K248" s="5">
        <f t="shared" si="39"/>
        <v>0</v>
      </c>
      <c r="L248" s="63">
        <v>1</v>
      </c>
      <c r="M248" s="1">
        <f t="shared" si="42"/>
        <v>0</v>
      </c>
      <c r="N248" s="52"/>
    </row>
    <row r="249" spans="1:14" ht="22.5">
      <c r="A249" s="72"/>
      <c r="B249" s="74" t="s">
        <v>163</v>
      </c>
      <c r="C249" s="3" t="s">
        <v>271</v>
      </c>
      <c r="D249" s="6"/>
      <c r="E249" s="5"/>
      <c r="F249" s="63">
        <v>1</v>
      </c>
      <c r="G249" s="1">
        <f t="shared" si="40"/>
        <v>0</v>
      </c>
      <c r="H249" s="5">
        <f t="shared" si="38"/>
        <v>0</v>
      </c>
      <c r="I249" s="64">
        <v>1</v>
      </c>
      <c r="J249" s="1">
        <f t="shared" si="41"/>
        <v>0</v>
      </c>
      <c r="K249" s="5">
        <f t="shared" si="39"/>
        <v>0</v>
      </c>
      <c r="L249" s="63">
        <v>1</v>
      </c>
      <c r="M249" s="1">
        <f t="shared" si="42"/>
        <v>0</v>
      </c>
      <c r="N249" s="52"/>
    </row>
    <row r="250" spans="1:14" ht="24">
      <c r="A250" s="73"/>
      <c r="B250" s="74" t="s">
        <v>162</v>
      </c>
      <c r="C250" s="3" t="s">
        <v>272</v>
      </c>
      <c r="D250" s="6"/>
      <c r="E250" s="5"/>
      <c r="F250" s="63">
        <v>1</v>
      </c>
      <c r="G250" s="1">
        <f t="shared" si="40"/>
        <v>0</v>
      </c>
      <c r="H250" s="5">
        <f t="shared" si="38"/>
        <v>0</v>
      </c>
      <c r="I250" s="64">
        <v>1</v>
      </c>
      <c r="J250" s="1">
        <f t="shared" si="41"/>
        <v>0</v>
      </c>
      <c r="K250" s="5">
        <f t="shared" si="39"/>
        <v>0</v>
      </c>
      <c r="L250" s="63">
        <v>1</v>
      </c>
      <c r="M250" s="1">
        <f t="shared" si="42"/>
        <v>0</v>
      </c>
      <c r="N250" s="52"/>
    </row>
    <row r="251" spans="1:14" ht="24">
      <c r="A251" s="71">
        <f>1+A246</f>
        <v>3</v>
      </c>
      <c r="B251" s="78" t="s">
        <v>300</v>
      </c>
      <c r="C251" s="38"/>
      <c r="D251" s="32"/>
      <c r="E251" s="5"/>
      <c r="F251" s="63"/>
      <c r="G251" s="1">
        <f t="shared" si="40"/>
        <v>0</v>
      </c>
      <c r="H251" s="5"/>
      <c r="I251" s="64"/>
      <c r="J251" s="1">
        <f t="shared" si="41"/>
        <v>0</v>
      </c>
      <c r="K251" s="5"/>
      <c r="L251" s="63"/>
      <c r="M251" s="1">
        <f t="shared" si="42"/>
        <v>0</v>
      </c>
      <c r="N251" s="55"/>
    </row>
    <row r="252" spans="1:14" ht="22.5">
      <c r="A252" s="72"/>
      <c r="B252" s="74" t="s">
        <v>161</v>
      </c>
      <c r="C252" s="3" t="s">
        <v>273</v>
      </c>
      <c r="D252" s="6"/>
      <c r="E252" s="5"/>
      <c r="F252" s="63">
        <v>1</v>
      </c>
      <c r="G252" s="1">
        <f t="shared" si="40"/>
        <v>0</v>
      </c>
      <c r="H252" s="5">
        <f>G252</f>
        <v>0</v>
      </c>
      <c r="I252" s="64">
        <v>1</v>
      </c>
      <c r="J252" s="1">
        <f t="shared" si="41"/>
        <v>0</v>
      </c>
      <c r="K252" s="5">
        <f>J252</f>
        <v>0</v>
      </c>
      <c r="L252" s="63">
        <v>1</v>
      </c>
      <c r="M252" s="1">
        <f t="shared" si="42"/>
        <v>0</v>
      </c>
      <c r="N252" s="52"/>
    </row>
    <row r="253" spans="1:14" ht="24">
      <c r="A253" s="72"/>
      <c r="B253" s="74" t="s">
        <v>162</v>
      </c>
      <c r="C253" s="3" t="s">
        <v>272</v>
      </c>
      <c r="D253" s="6"/>
      <c r="E253" s="5"/>
      <c r="F253" s="63">
        <v>1</v>
      </c>
      <c r="G253" s="1">
        <f t="shared" si="40"/>
        <v>0</v>
      </c>
      <c r="H253" s="5">
        <f t="shared" si="38"/>
        <v>0</v>
      </c>
      <c r="I253" s="64">
        <v>1</v>
      </c>
      <c r="J253" s="1">
        <f t="shared" si="41"/>
        <v>0</v>
      </c>
      <c r="K253" s="5">
        <f>J253</f>
        <v>0</v>
      </c>
      <c r="L253" s="63">
        <v>1</v>
      </c>
      <c r="M253" s="1">
        <f t="shared" si="42"/>
        <v>0</v>
      </c>
      <c r="N253" s="52"/>
    </row>
    <row r="254" spans="1:14" ht="22.5">
      <c r="A254" s="72"/>
      <c r="B254" s="74" t="s">
        <v>163</v>
      </c>
      <c r="C254" s="3" t="s">
        <v>273</v>
      </c>
      <c r="D254" s="6"/>
      <c r="E254" s="5"/>
      <c r="F254" s="63">
        <v>1</v>
      </c>
      <c r="G254" s="1">
        <f t="shared" si="40"/>
        <v>0</v>
      </c>
      <c r="H254" s="5">
        <f t="shared" si="38"/>
        <v>0</v>
      </c>
      <c r="I254" s="64">
        <v>1</v>
      </c>
      <c r="J254" s="1">
        <f t="shared" si="41"/>
        <v>0</v>
      </c>
      <c r="K254" s="5">
        <f t="shared" si="39"/>
        <v>0</v>
      </c>
      <c r="L254" s="63">
        <v>1</v>
      </c>
      <c r="M254" s="1">
        <f t="shared" si="42"/>
        <v>0</v>
      </c>
      <c r="N254" s="52"/>
    </row>
    <row r="255" spans="1:14" ht="24">
      <c r="A255" s="73"/>
      <c r="B255" s="74" t="s">
        <v>162</v>
      </c>
      <c r="C255" s="3" t="s">
        <v>272</v>
      </c>
      <c r="D255" s="6"/>
      <c r="E255" s="5"/>
      <c r="F255" s="63">
        <v>1</v>
      </c>
      <c r="G255" s="1">
        <f t="shared" si="40"/>
        <v>0</v>
      </c>
      <c r="H255" s="5">
        <f t="shared" si="38"/>
        <v>0</v>
      </c>
      <c r="I255" s="64">
        <v>1</v>
      </c>
      <c r="J255" s="1">
        <f t="shared" si="41"/>
        <v>0</v>
      </c>
      <c r="K255" s="5">
        <f t="shared" si="39"/>
        <v>0</v>
      </c>
      <c r="L255" s="63">
        <v>1</v>
      </c>
      <c r="M255" s="1">
        <f t="shared" si="42"/>
        <v>0</v>
      </c>
      <c r="N255" s="52"/>
    </row>
    <row r="256" spans="1:14" ht="24">
      <c r="A256" s="71">
        <f>1+A251</f>
        <v>4</v>
      </c>
      <c r="B256" s="78" t="s">
        <v>299</v>
      </c>
      <c r="C256" s="38"/>
      <c r="D256" s="32"/>
      <c r="E256" s="5"/>
      <c r="F256" s="63"/>
      <c r="G256" s="1">
        <f t="shared" si="40"/>
        <v>0</v>
      </c>
      <c r="H256" s="5"/>
      <c r="I256" s="64"/>
      <c r="J256" s="1">
        <f t="shared" si="41"/>
        <v>0</v>
      </c>
      <c r="K256" s="5"/>
      <c r="L256" s="63"/>
      <c r="M256" s="1">
        <f t="shared" si="42"/>
        <v>0</v>
      </c>
      <c r="N256" s="55"/>
    </row>
    <row r="257" spans="1:14" ht="22.5">
      <c r="A257" s="72"/>
      <c r="B257" s="74" t="s">
        <v>164</v>
      </c>
      <c r="C257" s="3" t="s">
        <v>273</v>
      </c>
      <c r="D257" s="6"/>
      <c r="E257" s="5"/>
      <c r="F257" s="63">
        <v>1</v>
      </c>
      <c r="G257" s="1">
        <f t="shared" si="40"/>
        <v>0</v>
      </c>
      <c r="H257" s="5">
        <f t="shared" si="38"/>
        <v>0</v>
      </c>
      <c r="I257" s="64">
        <v>1</v>
      </c>
      <c r="J257" s="1">
        <f t="shared" si="41"/>
        <v>0</v>
      </c>
      <c r="K257" s="5">
        <f t="shared" si="39"/>
        <v>0</v>
      </c>
      <c r="L257" s="63">
        <v>1</v>
      </c>
      <c r="M257" s="1">
        <f t="shared" si="42"/>
        <v>0</v>
      </c>
      <c r="N257" s="52"/>
    </row>
    <row r="258" spans="1:14" ht="24">
      <c r="A258" s="72"/>
      <c r="B258" s="74" t="s">
        <v>162</v>
      </c>
      <c r="C258" s="3" t="s">
        <v>272</v>
      </c>
      <c r="D258" s="6"/>
      <c r="E258" s="5"/>
      <c r="F258" s="63">
        <v>1</v>
      </c>
      <c r="G258" s="1">
        <f t="shared" si="40"/>
        <v>0</v>
      </c>
      <c r="H258" s="5">
        <f t="shared" si="38"/>
        <v>0</v>
      </c>
      <c r="I258" s="64">
        <v>1</v>
      </c>
      <c r="J258" s="1">
        <f t="shared" si="41"/>
        <v>0</v>
      </c>
      <c r="K258" s="5">
        <f t="shared" si="39"/>
        <v>0</v>
      </c>
      <c r="L258" s="63">
        <v>1</v>
      </c>
      <c r="M258" s="1">
        <f t="shared" si="42"/>
        <v>0</v>
      </c>
      <c r="N258" s="52"/>
    </row>
    <row r="259" spans="1:14" ht="22.5">
      <c r="A259" s="72"/>
      <c r="B259" s="74" t="s">
        <v>165</v>
      </c>
      <c r="C259" s="3" t="s">
        <v>273</v>
      </c>
      <c r="D259" s="6"/>
      <c r="E259" s="5"/>
      <c r="F259" s="63">
        <v>1</v>
      </c>
      <c r="G259" s="1">
        <f t="shared" si="40"/>
        <v>0</v>
      </c>
      <c r="H259" s="5">
        <f t="shared" si="38"/>
        <v>0</v>
      </c>
      <c r="I259" s="64">
        <v>1</v>
      </c>
      <c r="J259" s="1">
        <f t="shared" si="41"/>
        <v>0</v>
      </c>
      <c r="K259" s="5">
        <f t="shared" si="39"/>
        <v>0</v>
      </c>
      <c r="L259" s="63">
        <v>1</v>
      </c>
      <c r="M259" s="1">
        <f t="shared" si="42"/>
        <v>0</v>
      </c>
      <c r="N259" s="52"/>
    </row>
    <row r="260" spans="1:14" ht="24">
      <c r="A260" s="73"/>
      <c r="B260" s="74" t="s">
        <v>162</v>
      </c>
      <c r="C260" s="3" t="s">
        <v>272</v>
      </c>
      <c r="D260" s="6"/>
      <c r="E260" s="5"/>
      <c r="F260" s="63">
        <v>1</v>
      </c>
      <c r="G260" s="1">
        <f t="shared" si="40"/>
        <v>0</v>
      </c>
      <c r="H260" s="5">
        <f t="shared" si="38"/>
        <v>0</v>
      </c>
      <c r="I260" s="64">
        <v>1</v>
      </c>
      <c r="J260" s="1">
        <f t="shared" si="41"/>
        <v>0</v>
      </c>
      <c r="K260" s="5">
        <f t="shared" si="39"/>
        <v>0</v>
      </c>
      <c r="L260" s="63">
        <v>1</v>
      </c>
      <c r="M260" s="1">
        <f t="shared" si="42"/>
        <v>0</v>
      </c>
      <c r="N260" s="52"/>
    </row>
    <row r="261" spans="1:14" ht="24">
      <c r="A261" s="71">
        <f>1+A256</f>
        <v>5</v>
      </c>
      <c r="B261" s="78" t="s">
        <v>298</v>
      </c>
      <c r="C261" s="38"/>
      <c r="D261" s="32"/>
      <c r="E261" s="5"/>
      <c r="F261" s="63"/>
      <c r="G261" s="1">
        <f t="shared" si="40"/>
        <v>0</v>
      </c>
      <c r="H261" s="5"/>
      <c r="I261" s="64"/>
      <c r="J261" s="1">
        <f t="shared" si="41"/>
        <v>0</v>
      </c>
      <c r="K261" s="5"/>
      <c r="L261" s="63"/>
      <c r="M261" s="1">
        <f t="shared" si="42"/>
        <v>0</v>
      </c>
      <c r="N261" s="55"/>
    </row>
    <row r="262" spans="1:14" ht="22.5">
      <c r="A262" s="72"/>
      <c r="B262" s="74" t="s">
        <v>166</v>
      </c>
      <c r="C262" s="3" t="s">
        <v>273</v>
      </c>
      <c r="D262" s="6"/>
      <c r="E262" s="5"/>
      <c r="F262" s="63">
        <v>1</v>
      </c>
      <c r="G262" s="1">
        <f t="shared" si="40"/>
        <v>0</v>
      </c>
      <c r="H262" s="5">
        <f t="shared" si="38"/>
        <v>0</v>
      </c>
      <c r="I262" s="64">
        <v>1</v>
      </c>
      <c r="J262" s="1">
        <f t="shared" si="41"/>
        <v>0</v>
      </c>
      <c r="K262" s="5">
        <f t="shared" si="39"/>
        <v>0</v>
      </c>
      <c r="L262" s="63">
        <v>1</v>
      </c>
      <c r="M262" s="1">
        <f t="shared" si="42"/>
        <v>0</v>
      </c>
      <c r="N262" s="52"/>
    </row>
    <row r="263" spans="1:14" ht="24">
      <c r="A263" s="72"/>
      <c r="B263" s="74" t="s">
        <v>162</v>
      </c>
      <c r="C263" s="3" t="s">
        <v>272</v>
      </c>
      <c r="D263" s="6"/>
      <c r="E263" s="5"/>
      <c r="F263" s="63">
        <v>1</v>
      </c>
      <c r="G263" s="1">
        <f t="shared" si="40"/>
        <v>0</v>
      </c>
      <c r="H263" s="5">
        <f t="shared" si="38"/>
        <v>0</v>
      </c>
      <c r="I263" s="64">
        <v>1</v>
      </c>
      <c r="J263" s="1">
        <f t="shared" si="41"/>
        <v>0</v>
      </c>
      <c r="K263" s="5">
        <f t="shared" si="39"/>
        <v>0</v>
      </c>
      <c r="L263" s="63">
        <v>1</v>
      </c>
      <c r="M263" s="1">
        <f t="shared" si="42"/>
        <v>0</v>
      </c>
      <c r="N263" s="52"/>
    </row>
    <row r="264" spans="1:14" ht="22.5">
      <c r="A264" s="72"/>
      <c r="B264" s="74" t="s">
        <v>167</v>
      </c>
      <c r="C264" s="3" t="s">
        <v>273</v>
      </c>
      <c r="D264" s="6"/>
      <c r="E264" s="5"/>
      <c r="F264" s="63">
        <v>1</v>
      </c>
      <c r="G264" s="1">
        <f t="shared" si="40"/>
        <v>0</v>
      </c>
      <c r="H264" s="5">
        <f t="shared" si="38"/>
        <v>0</v>
      </c>
      <c r="I264" s="64">
        <v>1</v>
      </c>
      <c r="J264" s="1">
        <f t="shared" si="41"/>
        <v>0</v>
      </c>
      <c r="K264" s="5">
        <f t="shared" si="39"/>
        <v>0</v>
      </c>
      <c r="L264" s="63">
        <v>1</v>
      </c>
      <c r="M264" s="1">
        <f t="shared" si="42"/>
        <v>0</v>
      </c>
      <c r="N264" s="52"/>
    </row>
    <row r="265" spans="1:14" ht="24">
      <c r="A265" s="72"/>
      <c r="B265" s="74" t="s">
        <v>162</v>
      </c>
      <c r="C265" s="3" t="s">
        <v>272</v>
      </c>
      <c r="D265" s="6"/>
      <c r="E265" s="5"/>
      <c r="F265" s="63">
        <v>1</v>
      </c>
      <c r="G265" s="1">
        <f t="shared" si="40"/>
        <v>0</v>
      </c>
      <c r="H265" s="5">
        <f t="shared" si="38"/>
        <v>0</v>
      </c>
      <c r="I265" s="64">
        <v>1</v>
      </c>
      <c r="J265" s="1">
        <f t="shared" si="41"/>
        <v>0</v>
      </c>
      <c r="K265" s="5">
        <f t="shared" si="39"/>
        <v>0</v>
      </c>
      <c r="L265" s="63">
        <v>1</v>
      </c>
      <c r="M265" s="1">
        <f t="shared" si="42"/>
        <v>0</v>
      </c>
      <c r="N265" s="52"/>
    </row>
    <row r="266" spans="1:14" ht="22.5">
      <c r="A266" s="72"/>
      <c r="B266" s="74" t="s">
        <v>168</v>
      </c>
      <c r="C266" s="3" t="s">
        <v>273</v>
      </c>
      <c r="D266" s="6"/>
      <c r="E266" s="5"/>
      <c r="F266" s="63">
        <v>1</v>
      </c>
      <c r="G266" s="1">
        <f t="shared" si="40"/>
        <v>0</v>
      </c>
      <c r="H266" s="5">
        <f t="shared" si="38"/>
        <v>0</v>
      </c>
      <c r="I266" s="64">
        <v>1</v>
      </c>
      <c r="J266" s="1">
        <f t="shared" si="41"/>
        <v>0</v>
      </c>
      <c r="K266" s="5">
        <f t="shared" si="39"/>
        <v>0</v>
      </c>
      <c r="L266" s="63">
        <v>1</v>
      </c>
      <c r="M266" s="1">
        <f t="shared" si="42"/>
        <v>0</v>
      </c>
      <c r="N266" s="52"/>
    </row>
    <row r="267" spans="1:14" ht="22.5">
      <c r="A267" s="73"/>
      <c r="B267" s="74" t="s">
        <v>169</v>
      </c>
      <c r="C267" s="3" t="s">
        <v>273</v>
      </c>
      <c r="D267" s="6"/>
      <c r="E267" s="5"/>
      <c r="F267" s="63">
        <v>1</v>
      </c>
      <c r="G267" s="1">
        <f t="shared" si="40"/>
        <v>0</v>
      </c>
      <c r="H267" s="5">
        <f t="shared" si="38"/>
        <v>0</v>
      </c>
      <c r="I267" s="64">
        <v>1</v>
      </c>
      <c r="J267" s="1">
        <f t="shared" si="41"/>
        <v>0</v>
      </c>
      <c r="K267" s="5">
        <f t="shared" si="39"/>
        <v>0</v>
      </c>
      <c r="L267" s="63">
        <v>1</v>
      </c>
      <c r="M267" s="1">
        <f t="shared" si="42"/>
        <v>0</v>
      </c>
      <c r="N267" s="52"/>
    </row>
    <row r="268" spans="1:14" ht="12">
      <c r="A268" s="72">
        <v>6</v>
      </c>
      <c r="B268" s="78" t="s">
        <v>380</v>
      </c>
      <c r="C268" s="3" t="s">
        <v>243</v>
      </c>
      <c r="D268" s="6"/>
      <c r="E268" s="5"/>
      <c r="F268" s="63"/>
      <c r="G268" s="1">
        <f t="shared" si="40"/>
        <v>0</v>
      </c>
      <c r="H268" s="5"/>
      <c r="I268" s="64"/>
      <c r="J268" s="1">
        <f t="shared" si="41"/>
        <v>0</v>
      </c>
      <c r="K268" s="5"/>
      <c r="L268" s="63"/>
      <c r="M268" s="1">
        <f t="shared" si="42"/>
        <v>0</v>
      </c>
      <c r="N268" s="52"/>
    </row>
    <row r="269" spans="1:14" ht="22.5">
      <c r="A269" s="72"/>
      <c r="B269" s="74" t="s">
        <v>407</v>
      </c>
      <c r="C269" s="34" t="s">
        <v>408</v>
      </c>
      <c r="D269" s="6"/>
      <c r="E269" s="5"/>
      <c r="F269" s="63">
        <v>1</v>
      </c>
      <c r="G269" s="1">
        <f t="shared" si="40"/>
        <v>0</v>
      </c>
      <c r="H269" s="5">
        <f t="shared" si="38"/>
        <v>0</v>
      </c>
      <c r="I269" s="64">
        <v>1</v>
      </c>
      <c r="J269" s="1">
        <f t="shared" si="41"/>
        <v>0</v>
      </c>
      <c r="K269" s="5">
        <f t="shared" si="39"/>
        <v>0</v>
      </c>
      <c r="L269" s="63">
        <v>1</v>
      </c>
      <c r="M269" s="1">
        <f t="shared" si="42"/>
        <v>0</v>
      </c>
      <c r="N269" s="52"/>
    </row>
    <row r="270" spans="1:14" ht="22.5">
      <c r="A270" s="72"/>
      <c r="B270" s="74" t="s">
        <v>409</v>
      </c>
      <c r="C270" s="34" t="s">
        <v>408</v>
      </c>
      <c r="D270" s="6"/>
      <c r="E270" s="5"/>
      <c r="F270" s="63">
        <v>1</v>
      </c>
      <c r="G270" s="1">
        <f t="shared" si="40"/>
        <v>0</v>
      </c>
      <c r="H270" s="5">
        <f t="shared" si="38"/>
        <v>0</v>
      </c>
      <c r="I270" s="64">
        <v>1</v>
      </c>
      <c r="J270" s="1">
        <f t="shared" si="41"/>
        <v>0</v>
      </c>
      <c r="K270" s="5">
        <f t="shared" si="39"/>
        <v>0</v>
      </c>
      <c r="L270" s="63">
        <v>1</v>
      </c>
      <c r="M270" s="1">
        <f t="shared" si="42"/>
        <v>0</v>
      </c>
      <c r="N270" s="52"/>
    </row>
    <row r="271" spans="1:14" ht="24">
      <c r="A271" s="72"/>
      <c r="B271" s="74" t="s">
        <v>410</v>
      </c>
      <c r="C271" s="34" t="s">
        <v>408</v>
      </c>
      <c r="D271" s="6"/>
      <c r="E271" s="5"/>
      <c r="F271" s="63">
        <v>1</v>
      </c>
      <c r="G271" s="1">
        <f t="shared" si="40"/>
        <v>0</v>
      </c>
      <c r="H271" s="5">
        <f t="shared" si="38"/>
        <v>0</v>
      </c>
      <c r="I271" s="64">
        <v>1</v>
      </c>
      <c r="J271" s="1">
        <f t="shared" si="41"/>
        <v>0</v>
      </c>
      <c r="K271" s="5">
        <f>J271</f>
        <v>0</v>
      </c>
      <c r="L271" s="63">
        <v>1</v>
      </c>
      <c r="M271" s="1">
        <f t="shared" si="42"/>
        <v>0</v>
      </c>
      <c r="N271" s="52"/>
    </row>
    <row r="272" spans="1:14" ht="25.5" customHeight="1">
      <c r="A272" s="72">
        <v>7</v>
      </c>
      <c r="B272" s="78" t="s">
        <v>477</v>
      </c>
      <c r="C272" s="34" t="s">
        <v>408</v>
      </c>
      <c r="D272" s="6"/>
      <c r="E272" s="5"/>
      <c r="F272" s="63">
        <v>1</v>
      </c>
      <c r="G272" s="1">
        <f t="shared" si="40"/>
        <v>0</v>
      </c>
      <c r="H272" s="5">
        <f t="shared" si="38"/>
        <v>0</v>
      </c>
      <c r="I272" s="64">
        <v>1</v>
      </c>
      <c r="J272" s="1">
        <f t="shared" si="41"/>
        <v>0</v>
      </c>
      <c r="K272" s="5">
        <f>J272</f>
        <v>0</v>
      </c>
      <c r="L272" s="63">
        <v>1</v>
      </c>
      <c r="M272" s="1">
        <f t="shared" si="42"/>
        <v>0</v>
      </c>
      <c r="N272" s="52"/>
    </row>
    <row r="273" spans="1:14" ht="24">
      <c r="A273" s="72">
        <v>8</v>
      </c>
      <c r="B273" s="78" t="s">
        <v>451</v>
      </c>
      <c r="C273" s="34" t="s">
        <v>408</v>
      </c>
      <c r="D273" s="6"/>
      <c r="E273" s="5"/>
      <c r="F273" s="63">
        <v>1</v>
      </c>
      <c r="G273" s="1">
        <f t="shared" si="40"/>
        <v>0</v>
      </c>
      <c r="H273" s="5">
        <f t="shared" si="38"/>
        <v>0</v>
      </c>
      <c r="I273" s="64">
        <v>1</v>
      </c>
      <c r="J273" s="1">
        <f t="shared" si="41"/>
        <v>0</v>
      </c>
      <c r="K273" s="5">
        <f t="shared" si="39"/>
        <v>0</v>
      </c>
      <c r="L273" s="63">
        <v>1</v>
      </c>
      <c r="M273" s="1">
        <f t="shared" si="42"/>
        <v>0</v>
      </c>
      <c r="N273" s="52"/>
    </row>
    <row r="274" spans="1:14" ht="12">
      <c r="A274" s="73">
        <f>A273+1</f>
        <v>9</v>
      </c>
      <c r="B274" s="74" t="s">
        <v>301</v>
      </c>
      <c r="C274" s="3" t="s">
        <v>156</v>
      </c>
      <c r="D274" s="6"/>
      <c r="E274" s="5"/>
      <c r="F274" s="63">
        <v>1</v>
      </c>
      <c r="G274" s="1">
        <f t="shared" si="40"/>
        <v>0</v>
      </c>
      <c r="H274" s="5">
        <f t="shared" si="38"/>
        <v>0</v>
      </c>
      <c r="I274" s="64">
        <v>1</v>
      </c>
      <c r="J274" s="1">
        <f t="shared" si="41"/>
        <v>0</v>
      </c>
      <c r="K274" s="5">
        <f t="shared" si="39"/>
        <v>0</v>
      </c>
      <c r="L274" s="63">
        <v>1</v>
      </c>
      <c r="M274" s="1">
        <f t="shared" si="42"/>
        <v>0</v>
      </c>
      <c r="N274" s="52"/>
    </row>
    <row r="275" spans="1:14" ht="24">
      <c r="A275" s="50">
        <f>1+A274</f>
        <v>10</v>
      </c>
      <c r="B275" s="74" t="s">
        <v>158</v>
      </c>
      <c r="C275" s="3" t="s">
        <v>156</v>
      </c>
      <c r="D275" s="6"/>
      <c r="E275" s="5"/>
      <c r="F275" s="63">
        <v>1</v>
      </c>
      <c r="G275" s="1">
        <f t="shared" si="40"/>
        <v>0</v>
      </c>
      <c r="H275" s="5">
        <f t="shared" si="38"/>
        <v>0</v>
      </c>
      <c r="I275" s="64">
        <v>1</v>
      </c>
      <c r="J275" s="1">
        <f t="shared" si="41"/>
        <v>0</v>
      </c>
      <c r="K275" s="5">
        <f t="shared" si="39"/>
        <v>0</v>
      </c>
      <c r="L275" s="63">
        <v>1</v>
      </c>
      <c r="M275" s="1">
        <f t="shared" si="42"/>
        <v>0</v>
      </c>
      <c r="N275" s="52"/>
    </row>
    <row r="276" spans="1:14" ht="12">
      <c r="A276" s="50">
        <f>1+A275</f>
        <v>11</v>
      </c>
      <c r="B276" s="74" t="s">
        <v>157</v>
      </c>
      <c r="C276" s="3" t="s">
        <v>156</v>
      </c>
      <c r="D276" s="6"/>
      <c r="E276" s="5"/>
      <c r="F276" s="63">
        <v>1</v>
      </c>
      <c r="G276" s="1">
        <f t="shared" si="40"/>
        <v>0</v>
      </c>
      <c r="H276" s="5">
        <f t="shared" si="38"/>
        <v>0</v>
      </c>
      <c r="I276" s="64">
        <v>1</v>
      </c>
      <c r="J276" s="1">
        <f t="shared" si="41"/>
        <v>0</v>
      </c>
      <c r="K276" s="5">
        <f t="shared" si="39"/>
        <v>0</v>
      </c>
      <c r="L276" s="63">
        <v>1</v>
      </c>
      <c r="M276" s="1">
        <f t="shared" si="42"/>
        <v>0</v>
      </c>
      <c r="N276" s="52"/>
    </row>
    <row r="277" spans="1:14" ht="24">
      <c r="A277" s="50">
        <f>1+A276</f>
        <v>12</v>
      </c>
      <c r="B277" s="74" t="s">
        <v>160</v>
      </c>
      <c r="C277" s="3" t="s">
        <v>274</v>
      </c>
      <c r="D277" s="6"/>
      <c r="E277" s="5"/>
      <c r="F277" s="63">
        <v>1</v>
      </c>
      <c r="G277" s="1">
        <f t="shared" si="40"/>
        <v>0</v>
      </c>
      <c r="H277" s="5">
        <f t="shared" si="38"/>
        <v>0</v>
      </c>
      <c r="I277" s="64">
        <v>1</v>
      </c>
      <c r="J277" s="1">
        <f t="shared" si="41"/>
        <v>0</v>
      </c>
      <c r="K277" s="5">
        <f t="shared" si="39"/>
        <v>0</v>
      </c>
      <c r="L277" s="63">
        <v>1</v>
      </c>
      <c r="M277" s="1">
        <f t="shared" si="42"/>
        <v>0</v>
      </c>
      <c r="N277" s="52"/>
    </row>
    <row r="278" spans="1:14" ht="12">
      <c r="A278" s="71">
        <f>1+A277</f>
        <v>13</v>
      </c>
      <c r="B278" s="78" t="s">
        <v>170</v>
      </c>
      <c r="C278" s="38"/>
      <c r="D278" s="32"/>
      <c r="E278" s="5"/>
      <c r="F278" s="63"/>
      <c r="G278" s="1">
        <f t="shared" si="40"/>
        <v>0</v>
      </c>
      <c r="H278" s="5"/>
      <c r="I278" s="64"/>
      <c r="J278" s="1">
        <f t="shared" si="41"/>
        <v>0</v>
      </c>
      <c r="K278" s="5"/>
      <c r="L278" s="63"/>
      <c r="M278" s="1">
        <f t="shared" si="42"/>
        <v>0</v>
      </c>
      <c r="N278" s="55"/>
    </row>
    <row r="279" spans="1:14" ht="33.75">
      <c r="A279" s="72"/>
      <c r="B279" s="74" t="s">
        <v>171</v>
      </c>
      <c r="C279" s="3" t="s">
        <v>275</v>
      </c>
      <c r="D279" s="6"/>
      <c r="E279" s="5"/>
      <c r="F279" s="63">
        <v>1</v>
      </c>
      <c r="G279" s="1">
        <f t="shared" si="40"/>
        <v>0</v>
      </c>
      <c r="H279" s="5">
        <f t="shared" si="38"/>
        <v>0</v>
      </c>
      <c r="I279" s="64">
        <v>1</v>
      </c>
      <c r="J279" s="1">
        <f t="shared" si="41"/>
        <v>0</v>
      </c>
      <c r="K279" s="5">
        <f t="shared" si="39"/>
        <v>0</v>
      </c>
      <c r="L279" s="63">
        <v>1</v>
      </c>
      <c r="M279" s="1">
        <f t="shared" si="42"/>
        <v>0</v>
      </c>
      <c r="N279" s="52"/>
    </row>
    <row r="280" spans="1:14" ht="22.5">
      <c r="A280" s="72"/>
      <c r="B280" s="74" t="s">
        <v>172</v>
      </c>
      <c r="C280" s="3" t="s">
        <v>276</v>
      </c>
      <c r="D280" s="6"/>
      <c r="E280" s="5"/>
      <c r="F280" s="63">
        <v>1</v>
      </c>
      <c r="G280" s="1">
        <f t="shared" si="40"/>
        <v>0</v>
      </c>
      <c r="H280" s="5">
        <f t="shared" si="38"/>
        <v>0</v>
      </c>
      <c r="I280" s="64">
        <v>1</v>
      </c>
      <c r="J280" s="1">
        <f t="shared" si="41"/>
        <v>0</v>
      </c>
      <c r="K280" s="5">
        <f t="shared" si="39"/>
        <v>0</v>
      </c>
      <c r="L280" s="63">
        <v>1</v>
      </c>
      <c r="M280" s="1">
        <f t="shared" si="42"/>
        <v>0</v>
      </c>
      <c r="N280" s="52"/>
    </row>
    <row r="281" spans="1:14" ht="22.5">
      <c r="A281" s="72"/>
      <c r="B281" s="74" t="s">
        <v>173</v>
      </c>
      <c r="C281" s="3" t="s">
        <v>276</v>
      </c>
      <c r="D281" s="6"/>
      <c r="E281" s="5"/>
      <c r="F281" s="63">
        <v>1</v>
      </c>
      <c r="G281" s="1">
        <f t="shared" si="40"/>
        <v>0</v>
      </c>
      <c r="H281" s="5">
        <f t="shared" si="38"/>
        <v>0</v>
      </c>
      <c r="I281" s="64">
        <v>1</v>
      </c>
      <c r="J281" s="1">
        <f t="shared" si="41"/>
        <v>0</v>
      </c>
      <c r="K281" s="5">
        <f t="shared" si="39"/>
        <v>0</v>
      </c>
      <c r="L281" s="63">
        <v>1</v>
      </c>
      <c r="M281" s="1">
        <f t="shared" si="42"/>
        <v>0</v>
      </c>
      <c r="N281" s="52"/>
    </row>
    <row r="282" spans="1:14" ht="22.5">
      <c r="A282" s="72"/>
      <c r="B282" s="74" t="s">
        <v>174</v>
      </c>
      <c r="C282" s="3" t="s">
        <v>276</v>
      </c>
      <c r="D282" s="6"/>
      <c r="E282" s="5"/>
      <c r="F282" s="63">
        <v>1</v>
      </c>
      <c r="G282" s="1">
        <f t="shared" si="40"/>
        <v>0</v>
      </c>
      <c r="H282" s="5">
        <f t="shared" si="38"/>
        <v>0</v>
      </c>
      <c r="I282" s="64">
        <v>1</v>
      </c>
      <c r="J282" s="1">
        <f t="shared" si="41"/>
        <v>0</v>
      </c>
      <c r="K282" s="5">
        <f t="shared" si="39"/>
        <v>0</v>
      </c>
      <c r="L282" s="63">
        <v>1</v>
      </c>
      <c r="M282" s="1">
        <f t="shared" si="42"/>
        <v>0</v>
      </c>
      <c r="N282" s="52"/>
    </row>
    <row r="283" spans="1:14" ht="22.5">
      <c r="A283" s="72"/>
      <c r="B283" s="74" t="s">
        <v>175</v>
      </c>
      <c r="C283" s="3" t="s">
        <v>277</v>
      </c>
      <c r="D283" s="6"/>
      <c r="E283" s="5"/>
      <c r="F283" s="63">
        <v>1</v>
      </c>
      <c r="G283" s="1">
        <f t="shared" si="40"/>
        <v>0</v>
      </c>
      <c r="H283" s="5">
        <f t="shared" si="38"/>
        <v>0</v>
      </c>
      <c r="I283" s="64">
        <v>1</v>
      </c>
      <c r="J283" s="1">
        <f t="shared" si="41"/>
        <v>0</v>
      </c>
      <c r="K283" s="5">
        <f t="shared" si="39"/>
        <v>0</v>
      </c>
      <c r="L283" s="63">
        <v>1</v>
      </c>
      <c r="M283" s="1">
        <f t="shared" si="42"/>
        <v>0</v>
      </c>
      <c r="N283" s="52"/>
    </row>
    <row r="284" spans="1:14" ht="22.5">
      <c r="A284" s="72"/>
      <c r="B284" s="74" t="s">
        <v>176</v>
      </c>
      <c r="C284" s="3" t="s">
        <v>278</v>
      </c>
      <c r="D284" s="6"/>
      <c r="E284" s="5"/>
      <c r="F284" s="63">
        <v>1</v>
      </c>
      <c r="G284" s="1">
        <f t="shared" si="40"/>
        <v>0</v>
      </c>
      <c r="H284" s="5">
        <f t="shared" si="38"/>
        <v>0</v>
      </c>
      <c r="I284" s="64">
        <v>1</v>
      </c>
      <c r="J284" s="1">
        <f t="shared" si="41"/>
        <v>0</v>
      </c>
      <c r="K284" s="5">
        <f t="shared" si="39"/>
        <v>0</v>
      </c>
      <c r="L284" s="63">
        <v>1</v>
      </c>
      <c r="M284" s="1">
        <f t="shared" si="42"/>
        <v>0</v>
      </c>
      <c r="N284" s="52"/>
    </row>
    <row r="285" spans="1:14" ht="22.5">
      <c r="A285" s="72"/>
      <c r="B285" s="74" t="s">
        <v>177</v>
      </c>
      <c r="C285" s="3" t="s">
        <v>279</v>
      </c>
      <c r="D285" s="6"/>
      <c r="E285" s="5"/>
      <c r="F285" s="63">
        <v>1</v>
      </c>
      <c r="G285" s="1">
        <f t="shared" si="40"/>
        <v>0</v>
      </c>
      <c r="H285" s="5">
        <f t="shared" si="38"/>
        <v>0</v>
      </c>
      <c r="I285" s="64">
        <v>1</v>
      </c>
      <c r="J285" s="1">
        <f t="shared" si="41"/>
        <v>0</v>
      </c>
      <c r="K285" s="5">
        <f t="shared" si="39"/>
        <v>0</v>
      </c>
      <c r="L285" s="63">
        <v>1</v>
      </c>
      <c r="M285" s="1">
        <f t="shared" si="42"/>
        <v>0</v>
      </c>
      <c r="N285" s="52"/>
    </row>
    <row r="286" spans="1:14" ht="22.5">
      <c r="A286" s="73"/>
      <c r="B286" s="75" t="s">
        <v>178</v>
      </c>
      <c r="C286" s="2" t="s">
        <v>280</v>
      </c>
      <c r="D286" s="6"/>
      <c r="E286" s="5"/>
      <c r="F286" s="63">
        <v>1</v>
      </c>
      <c r="G286" s="1">
        <f t="shared" si="40"/>
        <v>0</v>
      </c>
      <c r="H286" s="5">
        <f t="shared" si="38"/>
        <v>0</v>
      </c>
      <c r="I286" s="64">
        <v>1</v>
      </c>
      <c r="J286" s="1">
        <f t="shared" si="41"/>
        <v>0</v>
      </c>
      <c r="K286" s="5">
        <f t="shared" si="39"/>
        <v>0</v>
      </c>
      <c r="L286" s="63">
        <v>1</v>
      </c>
      <c r="M286" s="1">
        <f t="shared" si="42"/>
        <v>0</v>
      </c>
      <c r="N286" s="52"/>
    </row>
    <row r="287" spans="1:14" ht="36">
      <c r="A287" s="72">
        <f>1+A278</f>
        <v>14</v>
      </c>
      <c r="B287" s="78" t="s">
        <v>381</v>
      </c>
      <c r="C287" s="3" t="s">
        <v>156</v>
      </c>
      <c r="D287" s="6"/>
      <c r="E287" s="5"/>
      <c r="F287" s="63">
        <v>1</v>
      </c>
      <c r="G287" s="1">
        <f t="shared" si="40"/>
        <v>0</v>
      </c>
      <c r="H287" s="5">
        <f t="shared" si="38"/>
        <v>0</v>
      </c>
      <c r="I287" s="64">
        <v>1</v>
      </c>
      <c r="J287" s="1">
        <f t="shared" si="41"/>
        <v>0</v>
      </c>
      <c r="K287" s="5">
        <f t="shared" si="39"/>
        <v>0</v>
      </c>
      <c r="L287" s="63">
        <v>1</v>
      </c>
      <c r="M287" s="1">
        <f t="shared" si="42"/>
        <v>0</v>
      </c>
      <c r="N287" s="52"/>
    </row>
    <row r="288" spans="1:14" ht="12">
      <c r="A288" s="71">
        <f>1+A287</f>
        <v>15</v>
      </c>
      <c r="B288" s="78" t="s">
        <v>179</v>
      </c>
      <c r="C288" s="39"/>
      <c r="D288" s="32"/>
      <c r="E288" s="5"/>
      <c r="F288" s="63"/>
      <c r="G288" s="1"/>
      <c r="H288" s="5"/>
      <c r="I288" s="64"/>
      <c r="J288" s="1"/>
      <c r="K288" s="5"/>
      <c r="L288" s="63"/>
      <c r="M288" s="1"/>
      <c r="N288" s="55"/>
    </row>
    <row r="289" spans="1:14" ht="22.5">
      <c r="A289" s="72"/>
      <c r="B289" s="74" t="s">
        <v>180</v>
      </c>
      <c r="C289" s="40" t="s">
        <v>281</v>
      </c>
      <c r="D289" s="6"/>
      <c r="E289" s="5"/>
      <c r="F289" s="63">
        <v>1</v>
      </c>
      <c r="G289" s="1">
        <f t="shared" si="40"/>
        <v>0</v>
      </c>
      <c r="H289" s="5">
        <f t="shared" si="38"/>
        <v>0</v>
      </c>
      <c r="I289" s="64">
        <v>1</v>
      </c>
      <c r="J289" s="1">
        <f t="shared" si="41"/>
        <v>0</v>
      </c>
      <c r="K289" s="5">
        <f t="shared" si="39"/>
        <v>0</v>
      </c>
      <c r="L289" s="63">
        <v>1</v>
      </c>
      <c r="M289" s="1">
        <f t="shared" si="42"/>
        <v>0</v>
      </c>
      <c r="N289" s="52"/>
    </row>
    <row r="290" spans="1:14" ht="12">
      <c r="A290" s="72"/>
      <c r="B290" s="74" t="s">
        <v>181</v>
      </c>
      <c r="C290" s="40" t="s">
        <v>269</v>
      </c>
      <c r="D290" s="6"/>
      <c r="E290" s="5"/>
      <c r="F290" s="63">
        <v>1</v>
      </c>
      <c r="G290" s="1">
        <f t="shared" si="40"/>
        <v>0</v>
      </c>
      <c r="H290" s="5">
        <f t="shared" si="38"/>
        <v>0</v>
      </c>
      <c r="I290" s="64">
        <v>1</v>
      </c>
      <c r="J290" s="1">
        <f t="shared" si="41"/>
        <v>0</v>
      </c>
      <c r="K290" s="5">
        <f t="shared" si="39"/>
        <v>0</v>
      </c>
      <c r="L290" s="63">
        <v>1</v>
      </c>
      <c r="M290" s="1">
        <f t="shared" si="42"/>
        <v>0</v>
      </c>
      <c r="N290" s="52"/>
    </row>
    <row r="291" spans="1:14" ht="12">
      <c r="A291" s="72"/>
      <c r="B291" s="74" t="s">
        <v>182</v>
      </c>
      <c r="C291" s="3" t="s">
        <v>269</v>
      </c>
      <c r="D291" s="6"/>
      <c r="E291" s="5"/>
      <c r="F291" s="63">
        <v>1</v>
      </c>
      <c r="G291" s="1">
        <f t="shared" si="40"/>
        <v>0</v>
      </c>
      <c r="H291" s="5">
        <f t="shared" si="38"/>
        <v>0</v>
      </c>
      <c r="I291" s="64">
        <v>1</v>
      </c>
      <c r="J291" s="1">
        <f t="shared" si="41"/>
        <v>0</v>
      </c>
      <c r="K291" s="5">
        <f t="shared" si="39"/>
        <v>0</v>
      </c>
      <c r="L291" s="63">
        <v>1</v>
      </c>
      <c r="M291" s="1">
        <f t="shared" si="42"/>
        <v>0</v>
      </c>
      <c r="N291" s="52"/>
    </row>
    <row r="292" spans="1:14" ht="22.5">
      <c r="A292" s="72"/>
      <c r="B292" s="74" t="s">
        <v>183</v>
      </c>
      <c r="C292" s="3" t="s">
        <v>282</v>
      </c>
      <c r="D292" s="6"/>
      <c r="E292" s="5"/>
      <c r="F292" s="63">
        <v>1</v>
      </c>
      <c r="G292" s="1">
        <f t="shared" si="40"/>
        <v>0</v>
      </c>
      <c r="H292" s="5">
        <f t="shared" si="38"/>
        <v>0</v>
      </c>
      <c r="I292" s="64">
        <v>1</v>
      </c>
      <c r="J292" s="1">
        <f t="shared" si="41"/>
        <v>0</v>
      </c>
      <c r="K292" s="5">
        <f t="shared" si="39"/>
        <v>0</v>
      </c>
      <c r="L292" s="63">
        <v>1</v>
      </c>
      <c r="M292" s="1">
        <f t="shared" si="42"/>
        <v>0</v>
      </c>
      <c r="N292" s="52"/>
    </row>
    <row r="293" spans="1:14" ht="12">
      <c r="A293" s="72"/>
      <c r="B293" s="74" t="s">
        <v>184</v>
      </c>
      <c r="C293" s="3" t="s">
        <v>283</v>
      </c>
      <c r="D293" s="6"/>
      <c r="E293" s="5"/>
      <c r="F293" s="63">
        <v>1</v>
      </c>
      <c r="G293" s="1">
        <f t="shared" si="40"/>
        <v>0</v>
      </c>
      <c r="H293" s="5">
        <f t="shared" si="38"/>
        <v>0</v>
      </c>
      <c r="I293" s="64">
        <v>1</v>
      </c>
      <c r="J293" s="1">
        <f t="shared" si="41"/>
        <v>0</v>
      </c>
      <c r="K293" s="5">
        <f t="shared" si="39"/>
        <v>0</v>
      </c>
      <c r="L293" s="63">
        <v>1</v>
      </c>
      <c r="M293" s="1">
        <f t="shared" si="42"/>
        <v>0</v>
      </c>
      <c r="N293" s="52"/>
    </row>
    <row r="294" spans="1:14" ht="12">
      <c r="A294" s="73"/>
      <c r="B294" s="74" t="s">
        <v>185</v>
      </c>
      <c r="C294" s="3" t="s">
        <v>269</v>
      </c>
      <c r="D294" s="6"/>
      <c r="E294" s="5"/>
      <c r="F294" s="63">
        <v>1</v>
      </c>
      <c r="G294" s="1">
        <f t="shared" si="40"/>
        <v>0</v>
      </c>
      <c r="H294" s="5">
        <f t="shared" si="38"/>
        <v>0</v>
      </c>
      <c r="I294" s="64">
        <v>1</v>
      </c>
      <c r="J294" s="1">
        <f t="shared" si="41"/>
        <v>0</v>
      </c>
      <c r="K294" s="5">
        <f t="shared" si="39"/>
        <v>0</v>
      </c>
      <c r="L294" s="63">
        <v>1</v>
      </c>
      <c r="M294" s="1">
        <f t="shared" si="42"/>
        <v>0</v>
      </c>
      <c r="N294" s="52"/>
    </row>
    <row r="295" spans="1:14" ht="22.5" customHeight="1">
      <c r="A295" s="50">
        <f>1+A288</f>
        <v>16</v>
      </c>
      <c r="B295" s="74" t="s">
        <v>186</v>
      </c>
      <c r="C295" s="3" t="s">
        <v>269</v>
      </c>
      <c r="D295" s="6"/>
      <c r="E295" s="5"/>
      <c r="F295" s="63">
        <v>1</v>
      </c>
      <c r="G295" s="1">
        <f t="shared" si="40"/>
        <v>0</v>
      </c>
      <c r="H295" s="5">
        <f t="shared" si="38"/>
        <v>0</v>
      </c>
      <c r="I295" s="64">
        <v>1</v>
      </c>
      <c r="J295" s="1">
        <f t="shared" si="41"/>
        <v>0</v>
      </c>
      <c r="K295" s="5">
        <f t="shared" si="39"/>
        <v>0</v>
      </c>
      <c r="L295" s="63">
        <v>1</v>
      </c>
      <c r="M295" s="1">
        <f t="shared" si="42"/>
        <v>0</v>
      </c>
      <c r="N295" s="52"/>
    </row>
    <row r="296" spans="1:14" ht="33.75">
      <c r="A296" s="50">
        <f>1+A295</f>
        <v>17</v>
      </c>
      <c r="B296" s="74" t="s">
        <v>302</v>
      </c>
      <c r="C296" s="34" t="s">
        <v>187</v>
      </c>
      <c r="D296" s="6"/>
      <c r="E296" s="5"/>
      <c r="F296" s="63">
        <v>1</v>
      </c>
      <c r="G296" s="1">
        <f t="shared" si="40"/>
        <v>0</v>
      </c>
      <c r="H296" s="5">
        <f t="shared" si="38"/>
        <v>0</v>
      </c>
      <c r="I296" s="64">
        <v>1</v>
      </c>
      <c r="J296" s="1">
        <f t="shared" si="41"/>
        <v>0</v>
      </c>
      <c r="K296" s="5">
        <f t="shared" si="39"/>
        <v>0</v>
      </c>
      <c r="L296" s="63">
        <v>1</v>
      </c>
      <c r="M296" s="1">
        <f t="shared" si="42"/>
        <v>0</v>
      </c>
      <c r="N296" s="52"/>
    </row>
    <row r="297" spans="1:14" ht="33.75">
      <c r="A297" s="50">
        <f aca="true" t="shared" si="43" ref="A297:A303">1+A296</f>
        <v>18</v>
      </c>
      <c r="B297" s="74" t="s">
        <v>330</v>
      </c>
      <c r="C297" s="34" t="s">
        <v>187</v>
      </c>
      <c r="D297" s="6"/>
      <c r="E297" s="5"/>
      <c r="F297" s="63">
        <v>1</v>
      </c>
      <c r="G297" s="1">
        <f t="shared" si="40"/>
        <v>0</v>
      </c>
      <c r="H297" s="5">
        <f t="shared" si="38"/>
        <v>0</v>
      </c>
      <c r="I297" s="64">
        <v>1</v>
      </c>
      <c r="J297" s="1">
        <f t="shared" si="41"/>
        <v>0</v>
      </c>
      <c r="K297" s="5">
        <f t="shared" si="39"/>
        <v>0</v>
      </c>
      <c r="L297" s="63">
        <v>1</v>
      </c>
      <c r="M297" s="1">
        <f t="shared" si="42"/>
        <v>0</v>
      </c>
      <c r="N297" s="52"/>
    </row>
    <row r="298" spans="1:14" ht="33.75">
      <c r="A298" s="50">
        <f t="shared" si="43"/>
        <v>19</v>
      </c>
      <c r="B298" s="74" t="s">
        <v>331</v>
      </c>
      <c r="C298" s="34" t="s">
        <v>187</v>
      </c>
      <c r="D298" s="6"/>
      <c r="E298" s="5"/>
      <c r="F298" s="63">
        <v>1</v>
      </c>
      <c r="G298" s="1">
        <f t="shared" si="40"/>
        <v>0</v>
      </c>
      <c r="H298" s="5">
        <f t="shared" si="38"/>
        <v>0</v>
      </c>
      <c r="I298" s="64">
        <v>1</v>
      </c>
      <c r="J298" s="1">
        <f t="shared" si="41"/>
        <v>0</v>
      </c>
      <c r="K298" s="5">
        <f t="shared" si="39"/>
        <v>0</v>
      </c>
      <c r="L298" s="63">
        <v>1</v>
      </c>
      <c r="M298" s="1">
        <f t="shared" si="42"/>
        <v>0</v>
      </c>
      <c r="N298" s="52"/>
    </row>
    <row r="299" spans="1:14" ht="33.75">
      <c r="A299" s="50">
        <f t="shared" si="43"/>
        <v>20</v>
      </c>
      <c r="B299" s="74" t="s">
        <v>332</v>
      </c>
      <c r="C299" s="34" t="s">
        <v>187</v>
      </c>
      <c r="D299" s="6"/>
      <c r="E299" s="5"/>
      <c r="F299" s="63">
        <v>1</v>
      </c>
      <c r="G299" s="1">
        <f t="shared" si="40"/>
        <v>0</v>
      </c>
      <c r="H299" s="5">
        <f t="shared" si="38"/>
        <v>0</v>
      </c>
      <c r="I299" s="64">
        <v>1</v>
      </c>
      <c r="J299" s="1">
        <f t="shared" si="41"/>
        <v>0</v>
      </c>
      <c r="K299" s="5">
        <f t="shared" si="39"/>
        <v>0</v>
      </c>
      <c r="L299" s="63">
        <v>1</v>
      </c>
      <c r="M299" s="1">
        <f t="shared" si="42"/>
        <v>0</v>
      </c>
      <c r="N299" s="52"/>
    </row>
    <row r="300" spans="1:14" ht="33.75">
      <c r="A300" s="50">
        <f t="shared" si="43"/>
        <v>21</v>
      </c>
      <c r="B300" s="74" t="s">
        <v>303</v>
      </c>
      <c r="C300" s="34" t="s">
        <v>187</v>
      </c>
      <c r="D300" s="6"/>
      <c r="E300" s="5"/>
      <c r="F300" s="63">
        <v>1</v>
      </c>
      <c r="G300" s="1">
        <f t="shared" si="40"/>
        <v>0</v>
      </c>
      <c r="H300" s="5">
        <f t="shared" si="38"/>
        <v>0</v>
      </c>
      <c r="I300" s="64">
        <v>1</v>
      </c>
      <c r="J300" s="1">
        <f t="shared" si="41"/>
        <v>0</v>
      </c>
      <c r="K300" s="5">
        <f t="shared" si="39"/>
        <v>0</v>
      </c>
      <c r="L300" s="63">
        <v>1</v>
      </c>
      <c r="M300" s="1">
        <f t="shared" si="42"/>
        <v>0</v>
      </c>
      <c r="N300" s="52"/>
    </row>
    <row r="301" spans="1:14" ht="33.75">
      <c r="A301" s="50">
        <f t="shared" si="43"/>
        <v>22</v>
      </c>
      <c r="B301" s="74" t="s">
        <v>304</v>
      </c>
      <c r="C301" s="34" t="s">
        <v>187</v>
      </c>
      <c r="D301" s="6"/>
      <c r="E301" s="5"/>
      <c r="F301" s="63">
        <v>1</v>
      </c>
      <c r="G301" s="1">
        <f t="shared" si="40"/>
        <v>0</v>
      </c>
      <c r="H301" s="5">
        <f t="shared" si="38"/>
        <v>0</v>
      </c>
      <c r="I301" s="64">
        <v>1</v>
      </c>
      <c r="J301" s="1">
        <f t="shared" si="41"/>
        <v>0</v>
      </c>
      <c r="K301" s="5">
        <f t="shared" si="39"/>
        <v>0</v>
      </c>
      <c r="L301" s="63">
        <v>1</v>
      </c>
      <c r="M301" s="1">
        <f t="shared" si="42"/>
        <v>0</v>
      </c>
      <c r="N301" s="52"/>
    </row>
    <row r="302" spans="1:14" ht="12">
      <c r="A302" s="50">
        <f t="shared" si="43"/>
        <v>23</v>
      </c>
      <c r="B302" s="74" t="s">
        <v>308</v>
      </c>
      <c r="C302" s="34" t="s">
        <v>156</v>
      </c>
      <c r="D302" s="6"/>
      <c r="E302" s="5"/>
      <c r="F302" s="63">
        <v>1</v>
      </c>
      <c r="G302" s="1">
        <f t="shared" si="40"/>
        <v>0</v>
      </c>
      <c r="H302" s="5">
        <f t="shared" si="38"/>
        <v>0</v>
      </c>
      <c r="I302" s="64">
        <v>1</v>
      </c>
      <c r="J302" s="1">
        <f t="shared" si="41"/>
        <v>0</v>
      </c>
      <c r="K302" s="5">
        <f t="shared" si="39"/>
        <v>0</v>
      </c>
      <c r="L302" s="63">
        <v>1</v>
      </c>
      <c r="M302" s="1">
        <f t="shared" si="42"/>
        <v>0</v>
      </c>
      <c r="N302" s="52"/>
    </row>
    <row r="303" spans="1:14" ht="12">
      <c r="A303" s="50">
        <f t="shared" si="43"/>
        <v>24</v>
      </c>
      <c r="B303" s="78" t="s">
        <v>188</v>
      </c>
      <c r="C303" s="38"/>
      <c r="D303" s="32"/>
      <c r="E303" s="5"/>
      <c r="F303" s="63"/>
      <c r="G303" s="1">
        <f t="shared" si="40"/>
        <v>0</v>
      </c>
      <c r="H303" s="5"/>
      <c r="I303" s="64"/>
      <c r="J303" s="1">
        <f t="shared" si="41"/>
        <v>0</v>
      </c>
      <c r="K303" s="5"/>
      <c r="L303" s="63"/>
      <c r="M303" s="1">
        <f t="shared" si="42"/>
        <v>0</v>
      </c>
      <c r="N303" s="55"/>
    </row>
    <row r="304" spans="1:14" ht="22.5">
      <c r="A304" s="72"/>
      <c r="B304" s="74" t="s">
        <v>189</v>
      </c>
      <c r="C304" s="3" t="s">
        <v>190</v>
      </c>
      <c r="D304" s="6"/>
      <c r="E304" s="5"/>
      <c r="F304" s="63">
        <v>1</v>
      </c>
      <c r="G304" s="1">
        <f t="shared" si="40"/>
        <v>0</v>
      </c>
      <c r="H304" s="5">
        <f t="shared" si="38"/>
        <v>0</v>
      </c>
      <c r="I304" s="64">
        <v>1</v>
      </c>
      <c r="J304" s="1">
        <f t="shared" si="41"/>
        <v>0</v>
      </c>
      <c r="K304" s="5">
        <f t="shared" si="39"/>
        <v>0</v>
      </c>
      <c r="L304" s="63">
        <v>1</v>
      </c>
      <c r="M304" s="1">
        <f t="shared" si="42"/>
        <v>0</v>
      </c>
      <c r="N304" s="52"/>
    </row>
    <row r="305" spans="1:14" ht="22.5">
      <c r="A305" s="72"/>
      <c r="B305" s="74" t="s">
        <v>191</v>
      </c>
      <c r="C305" s="3" t="s">
        <v>192</v>
      </c>
      <c r="D305" s="6"/>
      <c r="E305" s="5"/>
      <c r="F305" s="63">
        <v>1</v>
      </c>
      <c r="G305" s="1">
        <f aca="true" t="shared" si="44" ref="G305:G357">ROUND(E305*F305,0)</f>
        <v>0</v>
      </c>
      <c r="H305" s="5">
        <f aca="true" t="shared" si="45" ref="H305:H357">G305</f>
        <v>0</v>
      </c>
      <c r="I305" s="64">
        <v>1</v>
      </c>
      <c r="J305" s="1">
        <f aca="true" t="shared" si="46" ref="J305:J357">ROUND(H305*I305,0)</f>
        <v>0</v>
      </c>
      <c r="K305" s="5">
        <f aca="true" t="shared" si="47" ref="K305:K357">J305</f>
        <v>0</v>
      </c>
      <c r="L305" s="63">
        <v>1</v>
      </c>
      <c r="M305" s="1">
        <f aca="true" t="shared" si="48" ref="M305:M357">ROUND(K305*L305,0)</f>
        <v>0</v>
      </c>
      <c r="N305" s="52"/>
    </row>
    <row r="306" spans="1:14" ht="22.5">
      <c r="A306" s="72"/>
      <c r="B306" s="75" t="s">
        <v>193</v>
      </c>
      <c r="C306" s="2" t="s">
        <v>192</v>
      </c>
      <c r="D306" s="6"/>
      <c r="E306" s="5"/>
      <c r="F306" s="63">
        <v>1</v>
      </c>
      <c r="G306" s="1">
        <f t="shared" si="44"/>
        <v>0</v>
      </c>
      <c r="H306" s="5">
        <f t="shared" si="45"/>
        <v>0</v>
      </c>
      <c r="I306" s="64">
        <v>1</v>
      </c>
      <c r="J306" s="1">
        <f t="shared" si="46"/>
        <v>0</v>
      </c>
      <c r="K306" s="5">
        <f t="shared" si="47"/>
        <v>0</v>
      </c>
      <c r="L306" s="63">
        <v>1</v>
      </c>
      <c r="M306" s="1">
        <f t="shared" si="48"/>
        <v>0</v>
      </c>
      <c r="N306" s="52"/>
    </row>
    <row r="307" spans="1:14" ht="22.5">
      <c r="A307" s="72"/>
      <c r="B307" s="74" t="s">
        <v>194</v>
      </c>
      <c r="C307" s="3" t="s">
        <v>136</v>
      </c>
      <c r="D307" s="6"/>
      <c r="E307" s="5"/>
      <c r="F307" s="63">
        <v>1</v>
      </c>
      <c r="G307" s="1">
        <f t="shared" si="44"/>
        <v>0</v>
      </c>
      <c r="H307" s="5">
        <f t="shared" si="45"/>
        <v>0</v>
      </c>
      <c r="I307" s="64">
        <v>1</v>
      </c>
      <c r="J307" s="1">
        <f t="shared" si="46"/>
        <v>0</v>
      </c>
      <c r="K307" s="5">
        <f t="shared" si="47"/>
        <v>0</v>
      </c>
      <c r="L307" s="63">
        <v>1</v>
      </c>
      <c r="M307" s="1">
        <f t="shared" si="48"/>
        <v>0</v>
      </c>
      <c r="N307" s="52"/>
    </row>
    <row r="308" spans="1:14" ht="24">
      <c r="A308" s="72"/>
      <c r="B308" s="74" t="s">
        <v>195</v>
      </c>
      <c r="C308" s="3" t="s">
        <v>136</v>
      </c>
      <c r="D308" s="6"/>
      <c r="E308" s="5"/>
      <c r="F308" s="63">
        <v>1</v>
      </c>
      <c r="G308" s="1">
        <f t="shared" si="44"/>
        <v>0</v>
      </c>
      <c r="H308" s="5">
        <f t="shared" si="45"/>
        <v>0</v>
      </c>
      <c r="I308" s="64">
        <v>1</v>
      </c>
      <c r="J308" s="1">
        <f t="shared" si="46"/>
        <v>0</v>
      </c>
      <c r="K308" s="5">
        <f t="shared" si="47"/>
        <v>0</v>
      </c>
      <c r="L308" s="63">
        <v>1</v>
      </c>
      <c r="M308" s="1">
        <f t="shared" si="48"/>
        <v>0</v>
      </c>
      <c r="N308" s="52"/>
    </row>
    <row r="309" spans="1:14" ht="22.5">
      <c r="A309" s="72"/>
      <c r="B309" s="74" t="s">
        <v>196</v>
      </c>
      <c r="C309" s="3" t="s">
        <v>136</v>
      </c>
      <c r="D309" s="6"/>
      <c r="E309" s="5"/>
      <c r="F309" s="63">
        <v>1</v>
      </c>
      <c r="G309" s="1">
        <f t="shared" si="44"/>
        <v>0</v>
      </c>
      <c r="H309" s="5">
        <f t="shared" si="45"/>
        <v>0</v>
      </c>
      <c r="I309" s="64">
        <v>1</v>
      </c>
      <c r="J309" s="1">
        <f t="shared" si="46"/>
        <v>0</v>
      </c>
      <c r="K309" s="5">
        <f t="shared" si="47"/>
        <v>0</v>
      </c>
      <c r="L309" s="63">
        <v>1</v>
      </c>
      <c r="M309" s="1">
        <f t="shared" si="48"/>
        <v>0</v>
      </c>
      <c r="N309" s="52"/>
    </row>
    <row r="310" spans="1:14" ht="22.5">
      <c r="A310" s="72"/>
      <c r="B310" s="74" t="s">
        <v>197</v>
      </c>
      <c r="C310" s="3" t="s">
        <v>136</v>
      </c>
      <c r="D310" s="6"/>
      <c r="E310" s="5"/>
      <c r="F310" s="63">
        <v>1</v>
      </c>
      <c r="G310" s="1">
        <f t="shared" si="44"/>
        <v>0</v>
      </c>
      <c r="H310" s="5">
        <f t="shared" si="45"/>
        <v>0</v>
      </c>
      <c r="I310" s="64">
        <v>1</v>
      </c>
      <c r="J310" s="1">
        <f t="shared" si="46"/>
        <v>0</v>
      </c>
      <c r="K310" s="5">
        <f t="shared" si="47"/>
        <v>0</v>
      </c>
      <c r="L310" s="63">
        <v>1</v>
      </c>
      <c r="M310" s="1">
        <f t="shared" si="48"/>
        <v>0</v>
      </c>
      <c r="N310" s="52"/>
    </row>
    <row r="311" spans="1:14" ht="22.5">
      <c r="A311" s="72"/>
      <c r="B311" s="74" t="s">
        <v>198</v>
      </c>
      <c r="C311" s="3" t="s">
        <v>136</v>
      </c>
      <c r="D311" s="6"/>
      <c r="E311" s="5"/>
      <c r="F311" s="63">
        <v>1</v>
      </c>
      <c r="G311" s="1">
        <f t="shared" si="44"/>
        <v>0</v>
      </c>
      <c r="H311" s="5">
        <f t="shared" si="45"/>
        <v>0</v>
      </c>
      <c r="I311" s="64">
        <v>1</v>
      </c>
      <c r="J311" s="1">
        <f t="shared" si="46"/>
        <v>0</v>
      </c>
      <c r="K311" s="5">
        <f t="shared" si="47"/>
        <v>0</v>
      </c>
      <c r="L311" s="63">
        <v>1</v>
      </c>
      <c r="M311" s="1">
        <f t="shared" si="48"/>
        <v>0</v>
      </c>
      <c r="N311" s="52"/>
    </row>
    <row r="312" spans="1:14" ht="12">
      <c r="A312" s="72"/>
      <c r="B312" s="74" t="s">
        <v>199</v>
      </c>
      <c r="C312" s="3" t="s">
        <v>269</v>
      </c>
      <c r="D312" s="6"/>
      <c r="E312" s="5"/>
      <c r="F312" s="63">
        <v>1</v>
      </c>
      <c r="G312" s="1">
        <f t="shared" si="44"/>
        <v>0</v>
      </c>
      <c r="H312" s="5">
        <f t="shared" si="45"/>
        <v>0</v>
      </c>
      <c r="I312" s="64">
        <v>1</v>
      </c>
      <c r="J312" s="1">
        <f t="shared" si="46"/>
        <v>0</v>
      </c>
      <c r="K312" s="5">
        <f t="shared" si="47"/>
        <v>0</v>
      </c>
      <c r="L312" s="63">
        <v>1</v>
      </c>
      <c r="M312" s="1">
        <f t="shared" si="48"/>
        <v>0</v>
      </c>
      <c r="N312" s="52"/>
    </row>
    <row r="313" spans="1:14" ht="24">
      <c r="A313" s="73"/>
      <c r="B313" s="74" t="s">
        <v>200</v>
      </c>
      <c r="C313" s="3" t="s">
        <v>269</v>
      </c>
      <c r="D313" s="6"/>
      <c r="E313" s="5"/>
      <c r="F313" s="63">
        <v>1</v>
      </c>
      <c r="G313" s="1">
        <f t="shared" si="44"/>
        <v>0</v>
      </c>
      <c r="H313" s="5">
        <f t="shared" si="45"/>
        <v>0</v>
      </c>
      <c r="I313" s="64">
        <v>1</v>
      </c>
      <c r="J313" s="1">
        <f t="shared" si="46"/>
        <v>0</v>
      </c>
      <c r="K313" s="5">
        <f t="shared" si="47"/>
        <v>0</v>
      </c>
      <c r="L313" s="63">
        <v>1</v>
      </c>
      <c r="M313" s="1">
        <f t="shared" si="48"/>
        <v>0</v>
      </c>
      <c r="N313" s="52"/>
    </row>
    <row r="314" spans="1:14" ht="24">
      <c r="A314" s="50">
        <f>1+A303</f>
        <v>25</v>
      </c>
      <c r="B314" s="74" t="s">
        <v>201</v>
      </c>
      <c r="C314" s="3" t="s">
        <v>136</v>
      </c>
      <c r="D314" s="6"/>
      <c r="E314" s="5"/>
      <c r="F314" s="63">
        <v>1</v>
      </c>
      <c r="G314" s="1">
        <f t="shared" si="44"/>
        <v>0</v>
      </c>
      <c r="H314" s="5">
        <f t="shared" si="45"/>
        <v>0</v>
      </c>
      <c r="I314" s="64">
        <v>1</v>
      </c>
      <c r="J314" s="1">
        <f t="shared" si="46"/>
        <v>0</v>
      </c>
      <c r="K314" s="5">
        <f t="shared" si="47"/>
        <v>0</v>
      </c>
      <c r="L314" s="63">
        <v>1</v>
      </c>
      <c r="M314" s="1">
        <f t="shared" si="48"/>
        <v>0</v>
      </c>
      <c r="N314" s="52"/>
    </row>
    <row r="315" spans="1:14" ht="24">
      <c r="A315" s="50">
        <f>1+A314</f>
        <v>26</v>
      </c>
      <c r="B315" s="74" t="s">
        <v>329</v>
      </c>
      <c r="C315" s="3" t="s">
        <v>156</v>
      </c>
      <c r="D315" s="6"/>
      <c r="E315" s="5"/>
      <c r="F315" s="63">
        <v>1</v>
      </c>
      <c r="G315" s="1">
        <f t="shared" si="44"/>
        <v>0</v>
      </c>
      <c r="H315" s="5">
        <f t="shared" si="45"/>
        <v>0</v>
      </c>
      <c r="I315" s="64">
        <v>1</v>
      </c>
      <c r="J315" s="1">
        <f t="shared" si="46"/>
        <v>0</v>
      </c>
      <c r="K315" s="5">
        <f t="shared" si="47"/>
        <v>0</v>
      </c>
      <c r="L315" s="63">
        <v>1</v>
      </c>
      <c r="M315" s="1">
        <f t="shared" si="48"/>
        <v>0</v>
      </c>
      <c r="N315" s="52"/>
    </row>
    <row r="316" spans="1:14" ht="22.5">
      <c r="A316" s="50">
        <f aca="true" t="shared" si="49" ref="A316:A323">1+A315</f>
        <v>27</v>
      </c>
      <c r="B316" s="74" t="s">
        <v>202</v>
      </c>
      <c r="C316" s="3" t="s">
        <v>136</v>
      </c>
      <c r="D316" s="6"/>
      <c r="E316" s="5"/>
      <c r="F316" s="63">
        <v>1</v>
      </c>
      <c r="G316" s="1">
        <f t="shared" si="44"/>
        <v>0</v>
      </c>
      <c r="H316" s="5">
        <f t="shared" si="45"/>
        <v>0</v>
      </c>
      <c r="I316" s="64">
        <v>1</v>
      </c>
      <c r="J316" s="1">
        <f t="shared" si="46"/>
        <v>0</v>
      </c>
      <c r="K316" s="5">
        <f t="shared" si="47"/>
        <v>0</v>
      </c>
      <c r="L316" s="63">
        <v>1</v>
      </c>
      <c r="M316" s="1">
        <f t="shared" si="48"/>
        <v>0</v>
      </c>
      <c r="N316" s="52"/>
    </row>
    <row r="317" spans="1:14" ht="24">
      <c r="A317" s="50">
        <f t="shared" si="49"/>
        <v>28</v>
      </c>
      <c r="B317" s="74" t="s">
        <v>203</v>
      </c>
      <c r="C317" s="3" t="s">
        <v>136</v>
      </c>
      <c r="D317" s="6"/>
      <c r="E317" s="5"/>
      <c r="F317" s="63">
        <v>1</v>
      </c>
      <c r="G317" s="1">
        <f t="shared" si="44"/>
        <v>0</v>
      </c>
      <c r="H317" s="5">
        <f t="shared" si="45"/>
        <v>0</v>
      </c>
      <c r="I317" s="64">
        <v>1</v>
      </c>
      <c r="J317" s="1">
        <f t="shared" si="46"/>
        <v>0</v>
      </c>
      <c r="K317" s="5">
        <f t="shared" si="47"/>
        <v>0</v>
      </c>
      <c r="L317" s="63">
        <v>1</v>
      </c>
      <c r="M317" s="1">
        <f t="shared" si="48"/>
        <v>0</v>
      </c>
      <c r="N317" s="52"/>
    </row>
    <row r="318" spans="1:14" ht="12">
      <c r="A318" s="50">
        <f t="shared" si="49"/>
        <v>29</v>
      </c>
      <c r="B318" s="74" t="s">
        <v>204</v>
      </c>
      <c r="C318" s="3" t="s">
        <v>156</v>
      </c>
      <c r="D318" s="6"/>
      <c r="E318" s="5"/>
      <c r="F318" s="63">
        <v>1</v>
      </c>
      <c r="G318" s="1">
        <f t="shared" si="44"/>
        <v>0</v>
      </c>
      <c r="H318" s="5">
        <f t="shared" si="45"/>
        <v>0</v>
      </c>
      <c r="I318" s="64">
        <v>1</v>
      </c>
      <c r="J318" s="1">
        <f t="shared" si="46"/>
        <v>0</v>
      </c>
      <c r="K318" s="5">
        <f t="shared" si="47"/>
        <v>0</v>
      </c>
      <c r="L318" s="63">
        <v>1</v>
      </c>
      <c r="M318" s="1">
        <f t="shared" si="48"/>
        <v>0</v>
      </c>
      <c r="N318" s="52"/>
    </row>
    <row r="319" spans="1:14" ht="24">
      <c r="A319" s="50">
        <f t="shared" si="49"/>
        <v>30</v>
      </c>
      <c r="B319" s="74" t="s">
        <v>205</v>
      </c>
      <c r="C319" s="3" t="s">
        <v>286</v>
      </c>
      <c r="D319" s="6"/>
      <c r="E319" s="5"/>
      <c r="F319" s="63">
        <v>1</v>
      </c>
      <c r="G319" s="1">
        <f t="shared" si="44"/>
        <v>0</v>
      </c>
      <c r="H319" s="5">
        <f t="shared" si="45"/>
        <v>0</v>
      </c>
      <c r="I319" s="64">
        <v>1</v>
      </c>
      <c r="J319" s="1">
        <f t="shared" si="46"/>
        <v>0</v>
      </c>
      <c r="K319" s="5">
        <f t="shared" si="47"/>
        <v>0</v>
      </c>
      <c r="L319" s="63">
        <v>1</v>
      </c>
      <c r="M319" s="1">
        <f t="shared" si="48"/>
        <v>0</v>
      </c>
      <c r="N319" s="52"/>
    </row>
    <row r="320" spans="1:14" ht="22.5">
      <c r="A320" s="50">
        <f t="shared" si="49"/>
        <v>31</v>
      </c>
      <c r="B320" s="74" t="s">
        <v>135</v>
      </c>
      <c r="C320" s="3" t="s">
        <v>136</v>
      </c>
      <c r="D320" s="6"/>
      <c r="E320" s="5"/>
      <c r="F320" s="63">
        <v>1</v>
      </c>
      <c r="G320" s="1">
        <f t="shared" si="44"/>
        <v>0</v>
      </c>
      <c r="H320" s="5">
        <f t="shared" si="45"/>
        <v>0</v>
      </c>
      <c r="I320" s="64">
        <v>1</v>
      </c>
      <c r="J320" s="1">
        <f t="shared" si="46"/>
        <v>0</v>
      </c>
      <c r="K320" s="5">
        <f t="shared" si="47"/>
        <v>0</v>
      </c>
      <c r="L320" s="63">
        <v>1</v>
      </c>
      <c r="M320" s="1">
        <f t="shared" si="48"/>
        <v>0</v>
      </c>
      <c r="N320" s="52"/>
    </row>
    <row r="321" spans="1:14" ht="24">
      <c r="A321" s="50">
        <f t="shared" si="49"/>
        <v>32</v>
      </c>
      <c r="B321" s="74" t="s">
        <v>230</v>
      </c>
      <c r="C321" s="3" t="s">
        <v>115</v>
      </c>
      <c r="D321" s="6"/>
      <c r="E321" s="5"/>
      <c r="F321" s="63">
        <v>1</v>
      </c>
      <c r="G321" s="1">
        <f t="shared" si="44"/>
        <v>0</v>
      </c>
      <c r="H321" s="5">
        <f t="shared" si="45"/>
        <v>0</v>
      </c>
      <c r="I321" s="64">
        <v>1</v>
      </c>
      <c r="J321" s="1">
        <f t="shared" si="46"/>
        <v>0</v>
      </c>
      <c r="K321" s="5">
        <f t="shared" si="47"/>
        <v>0</v>
      </c>
      <c r="L321" s="63">
        <v>1</v>
      </c>
      <c r="M321" s="1">
        <f t="shared" si="48"/>
        <v>0</v>
      </c>
      <c r="N321" s="52"/>
    </row>
    <row r="322" spans="1:14" ht="22.5">
      <c r="A322" s="50">
        <f t="shared" si="49"/>
        <v>33</v>
      </c>
      <c r="B322" s="74" t="s">
        <v>206</v>
      </c>
      <c r="C322" s="3" t="s">
        <v>136</v>
      </c>
      <c r="D322" s="6"/>
      <c r="E322" s="5"/>
      <c r="F322" s="63">
        <v>1</v>
      </c>
      <c r="G322" s="1">
        <f t="shared" si="44"/>
        <v>0</v>
      </c>
      <c r="H322" s="5">
        <f t="shared" si="45"/>
        <v>0</v>
      </c>
      <c r="I322" s="64">
        <v>1</v>
      </c>
      <c r="J322" s="1">
        <f t="shared" si="46"/>
        <v>0</v>
      </c>
      <c r="K322" s="5">
        <f t="shared" si="47"/>
        <v>0</v>
      </c>
      <c r="L322" s="63">
        <v>1</v>
      </c>
      <c r="M322" s="1">
        <f t="shared" si="48"/>
        <v>0</v>
      </c>
      <c r="N322" s="52"/>
    </row>
    <row r="323" spans="1:14" ht="24">
      <c r="A323" s="50">
        <f t="shared" si="49"/>
        <v>34</v>
      </c>
      <c r="B323" s="78" t="s">
        <v>217</v>
      </c>
      <c r="C323" s="38"/>
      <c r="D323" s="32"/>
      <c r="E323" s="5"/>
      <c r="F323" s="63"/>
      <c r="G323" s="1">
        <f t="shared" si="44"/>
        <v>0</v>
      </c>
      <c r="H323" s="5"/>
      <c r="I323" s="64"/>
      <c r="J323" s="1">
        <f t="shared" si="46"/>
        <v>0</v>
      </c>
      <c r="K323" s="5"/>
      <c r="L323" s="63"/>
      <c r="M323" s="1">
        <f t="shared" si="48"/>
        <v>0</v>
      </c>
      <c r="N323" s="55"/>
    </row>
    <row r="324" spans="1:14" ht="22.5">
      <c r="A324" s="72"/>
      <c r="B324" s="74" t="s">
        <v>211</v>
      </c>
      <c r="C324" s="3" t="s">
        <v>213</v>
      </c>
      <c r="D324" s="6"/>
      <c r="E324" s="5"/>
      <c r="F324" s="63">
        <v>1</v>
      </c>
      <c r="G324" s="1">
        <f t="shared" si="44"/>
        <v>0</v>
      </c>
      <c r="H324" s="5">
        <f t="shared" si="45"/>
        <v>0</v>
      </c>
      <c r="I324" s="64">
        <v>1</v>
      </c>
      <c r="J324" s="1">
        <f t="shared" si="46"/>
        <v>0</v>
      </c>
      <c r="K324" s="5">
        <f t="shared" si="47"/>
        <v>0</v>
      </c>
      <c r="L324" s="63">
        <v>1</v>
      </c>
      <c r="M324" s="1">
        <f t="shared" si="48"/>
        <v>0</v>
      </c>
      <c r="N324" s="52"/>
    </row>
    <row r="325" spans="1:14" ht="22.5">
      <c r="A325" s="72"/>
      <c r="B325" s="74" t="s">
        <v>212</v>
      </c>
      <c r="C325" s="3" t="s">
        <v>213</v>
      </c>
      <c r="D325" s="6"/>
      <c r="E325" s="5"/>
      <c r="F325" s="63">
        <v>1</v>
      </c>
      <c r="G325" s="1">
        <f t="shared" si="44"/>
        <v>0</v>
      </c>
      <c r="H325" s="5">
        <f t="shared" si="45"/>
        <v>0</v>
      </c>
      <c r="I325" s="64">
        <v>1</v>
      </c>
      <c r="J325" s="1">
        <f t="shared" si="46"/>
        <v>0</v>
      </c>
      <c r="K325" s="5">
        <f t="shared" si="47"/>
        <v>0</v>
      </c>
      <c r="L325" s="63">
        <v>1</v>
      </c>
      <c r="M325" s="1">
        <f t="shared" si="48"/>
        <v>0</v>
      </c>
      <c r="N325" s="52"/>
    </row>
    <row r="326" spans="1:14" ht="12">
      <c r="A326" s="72"/>
      <c r="B326" s="74" t="s">
        <v>229</v>
      </c>
      <c r="C326" s="3" t="s">
        <v>216</v>
      </c>
      <c r="D326" s="6"/>
      <c r="E326" s="5"/>
      <c r="F326" s="63">
        <v>1</v>
      </c>
      <c r="G326" s="1">
        <f t="shared" si="44"/>
        <v>0</v>
      </c>
      <c r="H326" s="5">
        <f t="shared" si="45"/>
        <v>0</v>
      </c>
      <c r="I326" s="64">
        <v>1</v>
      </c>
      <c r="J326" s="1">
        <f t="shared" si="46"/>
        <v>0</v>
      </c>
      <c r="K326" s="5">
        <f t="shared" si="47"/>
        <v>0</v>
      </c>
      <c r="L326" s="63">
        <v>1</v>
      </c>
      <c r="M326" s="1">
        <f t="shared" si="48"/>
        <v>0</v>
      </c>
      <c r="N326" s="52"/>
    </row>
    <row r="327" spans="1:14" ht="12">
      <c r="A327" s="72"/>
      <c r="B327" s="74" t="s">
        <v>214</v>
      </c>
      <c r="C327" s="3" t="s">
        <v>216</v>
      </c>
      <c r="D327" s="6"/>
      <c r="E327" s="5"/>
      <c r="F327" s="63">
        <v>1</v>
      </c>
      <c r="G327" s="1">
        <f t="shared" si="44"/>
        <v>0</v>
      </c>
      <c r="H327" s="5">
        <f t="shared" si="45"/>
        <v>0</v>
      </c>
      <c r="I327" s="64">
        <v>1</v>
      </c>
      <c r="J327" s="1">
        <f t="shared" si="46"/>
        <v>0</v>
      </c>
      <c r="K327" s="5">
        <f t="shared" si="47"/>
        <v>0</v>
      </c>
      <c r="L327" s="63">
        <v>1</v>
      </c>
      <c r="M327" s="1">
        <f t="shared" si="48"/>
        <v>0</v>
      </c>
      <c r="N327" s="52"/>
    </row>
    <row r="328" spans="1:14" ht="12">
      <c r="A328" s="73"/>
      <c r="B328" s="74" t="s">
        <v>215</v>
      </c>
      <c r="C328" s="3" t="s">
        <v>216</v>
      </c>
      <c r="D328" s="6"/>
      <c r="E328" s="5"/>
      <c r="F328" s="63">
        <v>1</v>
      </c>
      <c r="G328" s="1">
        <f t="shared" si="44"/>
        <v>0</v>
      </c>
      <c r="H328" s="5">
        <f t="shared" si="45"/>
        <v>0</v>
      </c>
      <c r="I328" s="64">
        <v>1</v>
      </c>
      <c r="J328" s="1">
        <f t="shared" si="46"/>
        <v>0</v>
      </c>
      <c r="K328" s="5">
        <f t="shared" si="47"/>
        <v>0</v>
      </c>
      <c r="L328" s="63">
        <v>1</v>
      </c>
      <c r="M328" s="1">
        <f t="shared" si="48"/>
        <v>0</v>
      </c>
      <c r="N328" s="52"/>
    </row>
    <row r="329" spans="1:14" ht="24">
      <c r="A329" s="50">
        <f>1+A323</f>
        <v>35</v>
      </c>
      <c r="B329" s="74" t="s">
        <v>207</v>
      </c>
      <c r="C329" s="3" t="s">
        <v>156</v>
      </c>
      <c r="D329" s="6"/>
      <c r="E329" s="5"/>
      <c r="F329" s="63">
        <v>1</v>
      </c>
      <c r="G329" s="1">
        <f t="shared" si="44"/>
        <v>0</v>
      </c>
      <c r="H329" s="5">
        <f t="shared" si="45"/>
        <v>0</v>
      </c>
      <c r="I329" s="64">
        <v>1</v>
      </c>
      <c r="J329" s="1">
        <f t="shared" si="46"/>
        <v>0</v>
      </c>
      <c r="K329" s="5">
        <f t="shared" si="47"/>
        <v>0</v>
      </c>
      <c r="L329" s="63">
        <v>1</v>
      </c>
      <c r="M329" s="1">
        <f t="shared" si="48"/>
        <v>0</v>
      </c>
      <c r="N329" s="52"/>
    </row>
    <row r="330" spans="1:14" ht="12">
      <c r="A330" s="71">
        <f>1+A329</f>
        <v>36</v>
      </c>
      <c r="B330" s="78" t="s">
        <v>208</v>
      </c>
      <c r="C330" s="38"/>
      <c r="D330" s="32"/>
      <c r="E330" s="5"/>
      <c r="F330" s="63"/>
      <c r="G330" s="1">
        <f t="shared" si="44"/>
        <v>0</v>
      </c>
      <c r="H330" s="5"/>
      <c r="I330" s="64"/>
      <c r="J330" s="1">
        <f t="shared" si="46"/>
        <v>0</v>
      </c>
      <c r="K330" s="5"/>
      <c r="L330" s="63"/>
      <c r="M330" s="1">
        <f t="shared" si="48"/>
        <v>0</v>
      </c>
      <c r="N330" s="55"/>
    </row>
    <row r="331" spans="1:14" ht="12">
      <c r="A331" s="72"/>
      <c r="B331" s="74" t="s">
        <v>209</v>
      </c>
      <c r="C331" s="3" t="s">
        <v>224</v>
      </c>
      <c r="D331" s="6"/>
      <c r="E331" s="5"/>
      <c r="F331" s="63">
        <v>1</v>
      </c>
      <c r="G331" s="1">
        <f t="shared" si="44"/>
        <v>0</v>
      </c>
      <c r="H331" s="5">
        <f t="shared" si="45"/>
        <v>0</v>
      </c>
      <c r="I331" s="64">
        <v>1</v>
      </c>
      <c r="J331" s="1">
        <f t="shared" si="46"/>
        <v>0</v>
      </c>
      <c r="K331" s="5">
        <f t="shared" si="47"/>
        <v>0</v>
      </c>
      <c r="L331" s="63">
        <v>1</v>
      </c>
      <c r="M331" s="1">
        <f t="shared" si="48"/>
        <v>0</v>
      </c>
      <c r="N331" s="52"/>
    </row>
    <row r="332" spans="1:14" ht="12">
      <c r="A332" s="72"/>
      <c r="B332" s="74" t="s">
        <v>242</v>
      </c>
      <c r="C332" s="3" t="s">
        <v>224</v>
      </c>
      <c r="D332" s="6"/>
      <c r="E332" s="5"/>
      <c r="F332" s="63">
        <v>1</v>
      </c>
      <c r="G332" s="1">
        <f t="shared" si="44"/>
        <v>0</v>
      </c>
      <c r="H332" s="5">
        <f t="shared" si="45"/>
        <v>0</v>
      </c>
      <c r="I332" s="64">
        <v>1</v>
      </c>
      <c r="J332" s="1">
        <f t="shared" si="46"/>
        <v>0</v>
      </c>
      <c r="K332" s="5">
        <f t="shared" si="47"/>
        <v>0</v>
      </c>
      <c r="L332" s="63">
        <v>1</v>
      </c>
      <c r="M332" s="1">
        <f t="shared" si="48"/>
        <v>0</v>
      </c>
      <c r="N332" s="52"/>
    </row>
    <row r="333" spans="1:14" ht="12">
      <c r="A333" s="72"/>
      <c r="B333" s="74" t="s">
        <v>240</v>
      </c>
      <c r="C333" s="3" t="s">
        <v>224</v>
      </c>
      <c r="D333" s="6"/>
      <c r="E333" s="5"/>
      <c r="F333" s="63">
        <v>1</v>
      </c>
      <c r="G333" s="1">
        <f t="shared" si="44"/>
        <v>0</v>
      </c>
      <c r="H333" s="5">
        <f t="shared" si="45"/>
        <v>0</v>
      </c>
      <c r="I333" s="64">
        <v>1</v>
      </c>
      <c r="J333" s="1">
        <f t="shared" si="46"/>
        <v>0</v>
      </c>
      <c r="K333" s="5">
        <f t="shared" si="47"/>
        <v>0</v>
      </c>
      <c r="L333" s="63">
        <v>1</v>
      </c>
      <c r="M333" s="1">
        <f t="shared" si="48"/>
        <v>0</v>
      </c>
      <c r="N333" s="52"/>
    </row>
    <row r="334" spans="1:14" ht="22.5">
      <c r="A334" s="72"/>
      <c r="B334" s="74" t="s">
        <v>241</v>
      </c>
      <c r="C334" s="3" t="s">
        <v>136</v>
      </c>
      <c r="D334" s="6"/>
      <c r="E334" s="5"/>
      <c r="F334" s="63">
        <v>1</v>
      </c>
      <c r="G334" s="1">
        <f t="shared" si="44"/>
        <v>0</v>
      </c>
      <c r="H334" s="5">
        <f t="shared" si="45"/>
        <v>0</v>
      </c>
      <c r="I334" s="64">
        <v>1</v>
      </c>
      <c r="J334" s="1">
        <f t="shared" si="46"/>
        <v>0</v>
      </c>
      <c r="K334" s="5">
        <f t="shared" si="47"/>
        <v>0</v>
      </c>
      <c r="L334" s="63">
        <v>1</v>
      </c>
      <c r="M334" s="1">
        <f t="shared" si="48"/>
        <v>0</v>
      </c>
      <c r="N334" s="52"/>
    </row>
    <row r="335" spans="1:14" ht="12">
      <c r="A335" s="72"/>
      <c r="B335" s="74" t="s">
        <v>210</v>
      </c>
      <c r="C335" s="3" t="s">
        <v>224</v>
      </c>
      <c r="D335" s="6"/>
      <c r="E335" s="5"/>
      <c r="F335" s="63">
        <v>1</v>
      </c>
      <c r="G335" s="1">
        <f t="shared" si="44"/>
        <v>0</v>
      </c>
      <c r="H335" s="5">
        <f t="shared" si="45"/>
        <v>0</v>
      </c>
      <c r="I335" s="64">
        <v>1</v>
      </c>
      <c r="J335" s="1">
        <f t="shared" si="46"/>
        <v>0</v>
      </c>
      <c r="K335" s="5">
        <f t="shared" si="47"/>
        <v>0</v>
      </c>
      <c r="L335" s="63">
        <v>1</v>
      </c>
      <c r="M335" s="1">
        <f t="shared" si="48"/>
        <v>0</v>
      </c>
      <c r="N335" s="52"/>
    </row>
    <row r="336" spans="1:14" ht="12">
      <c r="A336" s="72"/>
      <c r="B336" s="74" t="s">
        <v>478</v>
      </c>
      <c r="C336" s="3" t="s">
        <v>224</v>
      </c>
      <c r="D336" s="6"/>
      <c r="E336" s="5"/>
      <c r="F336" s="63">
        <v>1</v>
      </c>
      <c r="G336" s="1">
        <f t="shared" si="44"/>
        <v>0</v>
      </c>
      <c r="H336" s="5">
        <f t="shared" si="45"/>
        <v>0</v>
      </c>
      <c r="I336" s="64">
        <v>1</v>
      </c>
      <c r="J336" s="1">
        <f t="shared" si="46"/>
        <v>0</v>
      </c>
      <c r="K336" s="5">
        <f t="shared" si="47"/>
        <v>0</v>
      </c>
      <c r="L336" s="63">
        <v>1</v>
      </c>
      <c r="M336" s="1">
        <f t="shared" si="48"/>
        <v>0</v>
      </c>
      <c r="N336" s="52"/>
    </row>
    <row r="337" spans="1:14" ht="12">
      <c r="A337" s="72"/>
      <c r="B337" s="74" t="s">
        <v>222</v>
      </c>
      <c r="C337" s="3" t="s">
        <v>224</v>
      </c>
      <c r="D337" s="6"/>
      <c r="E337" s="5"/>
      <c r="F337" s="63">
        <v>1</v>
      </c>
      <c r="G337" s="1">
        <f t="shared" si="44"/>
        <v>0</v>
      </c>
      <c r="H337" s="5">
        <f t="shared" si="45"/>
        <v>0</v>
      </c>
      <c r="I337" s="64">
        <v>1</v>
      </c>
      <c r="J337" s="1">
        <f t="shared" si="46"/>
        <v>0</v>
      </c>
      <c r="K337" s="5">
        <f t="shared" si="47"/>
        <v>0</v>
      </c>
      <c r="L337" s="63">
        <v>1</v>
      </c>
      <c r="M337" s="1">
        <f t="shared" si="48"/>
        <v>0</v>
      </c>
      <c r="N337" s="52"/>
    </row>
    <row r="338" spans="1:14" ht="12">
      <c r="A338" s="72"/>
      <c r="B338" s="74" t="s">
        <v>223</v>
      </c>
      <c r="C338" s="3" t="s">
        <v>224</v>
      </c>
      <c r="D338" s="6"/>
      <c r="E338" s="5"/>
      <c r="F338" s="63">
        <v>1</v>
      </c>
      <c r="G338" s="1">
        <f t="shared" si="44"/>
        <v>0</v>
      </c>
      <c r="H338" s="5">
        <f t="shared" si="45"/>
        <v>0</v>
      </c>
      <c r="I338" s="64">
        <v>1</v>
      </c>
      <c r="J338" s="1">
        <f t="shared" si="46"/>
        <v>0</v>
      </c>
      <c r="K338" s="5">
        <f t="shared" si="47"/>
        <v>0</v>
      </c>
      <c r="L338" s="63">
        <v>1</v>
      </c>
      <c r="M338" s="1">
        <f t="shared" si="48"/>
        <v>0</v>
      </c>
      <c r="N338" s="52"/>
    </row>
    <row r="339" spans="1:14" ht="22.5">
      <c r="A339" s="72"/>
      <c r="B339" s="74" t="s">
        <v>221</v>
      </c>
      <c r="C339" s="3" t="s">
        <v>190</v>
      </c>
      <c r="D339" s="6"/>
      <c r="E339" s="5"/>
      <c r="F339" s="63">
        <v>1</v>
      </c>
      <c r="G339" s="1">
        <f t="shared" si="44"/>
        <v>0</v>
      </c>
      <c r="H339" s="5">
        <f t="shared" si="45"/>
        <v>0</v>
      </c>
      <c r="I339" s="64">
        <v>1</v>
      </c>
      <c r="J339" s="1">
        <f t="shared" si="46"/>
        <v>0</v>
      </c>
      <c r="K339" s="5">
        <f t="shared" si="47"/>
        <v>0</v>
      </c>
      <c r="L339" s="63">
        <v>1</v>
      </c>
      <c r="M339" s="1">
        <f t="shared" si="48"/>
        <v>0</v>
      </c>
      <c r="N339" s="52"/>
    </row>
    <row r="340" spans="1:14" ht="12">
      <c r="A340" s="72"/>
      <c r="B340" s="74" t="s">
        <v>218</v>
      </c>
      <c r="C340" s="3" t="s">
        <v>216</v>
      </c>
      <c r="D340" s="6"/>
      <c r="E340" s="5"/>
      <c r="F340" s="63">
        <v>1</v>
      </c>
      <c r="G340" s="1">
        <f t="shared" si="44"/>
        <v>0</v>
      </c>
      <c r="H340" s="5">
        <f t="shared" si="45"/>
        <v>0</v>
      </c>
      <c r="I340" s="64">
        <v>1</v>
      </c>
      <c r="J340" s="1">
        <f t="shared" si="46"/>
        <v>0</v>
      </c>
      <c r="K340" s="5">
        <f t="shared" si="47"/>
        <v>0</v>
      </c>
      <c r="L340" s="63">
        <v>1</v>
      </c>
      <c r="M340" s="1">
        <f t="shared" si="48"/>
        <v>0</v>
      </c>
      <c r="N340" s="52"/>
    </row>
    <row r="341" spans="1:14" ht="12">
      <c r="A341" s="73"/>
      <c r="B341" s="74" t="s">
        <v>219</v>
      </c>
      <c r="C341" s="3" t="s">
        <v>216</v>
      </c>
      <c r="D341" s="6"/>
      <c r="E341" s="5"/>
      <c r="F341" s="63">
        <v>1</v>
      </c>
      <c r="G341" s="1">
        <f t="shared" si="44"/>
        <v>0</v>
      </c>
      <c r="H341" s="5">
        <f t="shared" si="45"/>
        <v>0</v>
      </c>
      <c r="I341" s="64">
        <v>1</v>
      </c>
      <c r="J341" s="1">
        <f t="shared" si="46"/>
        <v>0</v>
      </c>
      <c r="K341" s="5">
        <f t="shared" si="47"/>
        <v>0</v>
      </c>
      <c r="L341" s="63">
        <v>1</v>
      </c>
      <c r="M341" s="1">
        <f t="shared" si="48"/>
        <v>0</v>
      </c>
      <c r="N341" s="52"/>
    </row>
    <row r="342" spans="1:14" ht="24">
      <c r="A342" s="50">
        <f>A330+1</f>
        <v>37</v>
      </c>
      <c r="B342" s="74" t="s">
        <v>220</v>
      </c>
      <c r="C342" s="3" t="s">
        <v>156</v>
      </c>
      <c r="D342" s="6"/>
      <c r="E342" s="5"/>
      <c r="F342" s="63">
        <v>1</v>
      </c>
      <c r="G342" s="1">
        <f t="shared" si="44"/>
        <v>0</v>
      </c>
      <c r="H342" s="5">
        <f t="shared" si="45"/>
        <v>0</v>
      </c>
      <c r="I342" s="64">
        <v>1</v>
      </c>
      <c r="J342" s="1">
        <f t="shared" si="46"/>
        <v>0</v>
      </c>
      <c r="K342" s="5">
        <f t="shared" si="47"/>
        <v>0</v>
      </c>
      <c r="L342" s="63">
        <v>1</v>
      </c>
      <c r="M342" s="1">
        <f t="shared" si="48"/>
        <v>0</v>
      </c>
      <c r="N342" s="52"/>
    </row>
    <row r="343" spans="1:14" ht="12">
      <c r="A343" s="50">
        <f>1+A342</f>
        <v>38</v>
      </c>
      <c r="B343" s="74" t="s">
        <v>225</v>
      </c>
      <c r="C343" s="3" t="s">
        <v>156</v>
      </c>
      <c r="D343" s="6"/>
      <c r="E343" s="5"/>
      <c r="F343" s="63">
        <v>1</v>
      </c>
      <c r="G343" s="1">
        <f t="shared" si="44"/>
        <v>0</v>
      </c>
      <c r="H343" s="5">
        <f t="shared" si="45"/>
        <v>0</v>
      </c>
      <c r="I343" s="64">
        <v>1</v>
      </c>
      <c r="J343" s="1">
        <f t="shared" si="46"/>
        <v>0</v>
      </c>
      <c r="K343" s="5">
        <f t="shared" si="47"/>
        <v>0</v>
      </c>
      <c r="L343" s="63">
        <v>1</v>
      </c>
      <c r="M343" s="1">
        <f t="shared" si="48"/>
        <v>0</v>
      </c>
      <c r="N343" s="52"/>
    </row>
    <row r="344" spans="1:14" ht="12">
      <c r="A344" s="71">
        <f>1+A343</f>
        <v>39</v>
      </c>
      <c r="B344" s="78" t="s">
        <v>226</v>
      </c>
      <c r="C344" s="38"/>
      <c r="D344" s="32"/>
      <c r="E344" s="5"/>
      <c r="F344" s="63">
        <v>1</v>
      </c>
      <c r="G344" s="1">
        <f t="shared" si="44"/>
        <v>0</v>
      </c>
      <c r="H344" s="5"/>
      <c r="I344" s="64"/>
      <c r="J344" s="1">
        <f t="shared" si="46"/>
        <v>0</v>
      </c>
      <c r="K344" s="5"/>
      <c r="L344" s="63"/>
      <c r="M344" s="1">
        <f t="shared" si="48"/>
        <v>0</v>
      </c>
      <c r="N344" s="55"/>
    </row>
    <row r="345" spans="1:14" ht="22.5">
      <c r="A345" s="72"/>
      <c r="B345" s="74" t="s">
        <v>227</v>
      </c>
      <c r="C345" s="3" t="s">
        <v>136</v>
      </c>
      <c r="D345" s="6"/>
      <c r="E345" s="5"/>
      <c r="F345" s="63">
        <v>1</v>
      </c>
      <c r="G345" s="1">
        <f t="shared" si="44"/>
        <v>0</v>
      </c>
      <c r="H345" s="5">
        <f t="shared" si="45"/>
        <v>0</v>
      </c>
      <c r="I345" s="64">
        <v>1</v>
      </c>
      <c r="J345" s="1">
        <f t="shared" si="46"/>
        <v>0</v>
      </c>
      <c r="K345" s="5">
        <f t="shared" si="47"/>
        <v>0</v>
      </c>
      <c r="L345" s="63">
        <v>1</v>
      </c>
      <c r="M345" s="1">
        <f t="shared" si="48"/>
        <v>0</v>
      </c>
      <c r="N345" s="52"/>
    </row>
    <row r="346" spans="1:14" ht="22.5">
      <c r="A346" s="73"/>
      <c r="B346" s="74" t="s">
        <v>228</v>
      </c>
      <c r="C346" s="3" t="s">
        <v>136</v>
      </c>
      <c r="D346" s="6"/>
      <c r="E346" s="5"/>
      <c r="F346" s="63">
        <v>1</v>
      </c>
      <c r="G346" s="1">
        <f t="shared" si="44"/>
        <v>0</v>
      </c>
      <c r="H346" s="5">
        <f t="shared" si="45"/>
        <v>0</v>
      </c>
      <c r="I346" s="64">
        <v>1</v>
      </c>
      <c r="J346" s="1">
        <f t="shared" si="46"/>
        <v>0</v>
      </c>
      <c r="K346" s="5">
        <f t="shared" si="47"/>
        <v>0</v>
      </c>
      <c r="L346" s="63">
        <v>1</v>
      </c>
      <c r="M346" s="1">
        <f t="shared" si="48"/>
        <v>0</v>
      </c>
      <c r="N346" s="52"/>
    </row>
    <row r="347" spans="1:14" ht="12">
      <c r="A347" s="71">
        <f>1+A344</f>
        <v>40</v>
      </c>
      <c r="B347" s="78" t="s">
        <v>232</v>
      </c>
      <c r="C347" s="41"/>
      <c r="D347" s="42"/>
      <c r="E347" s="5"/>
      <c r="F347" s="63">
        <v>1</v>
      </c>
      <c r="G347" s="1">
        <f t="shared" si="44"/>
        <v>0</v>
      </c>
      <c r="H347" s="5"/>
      <c r="I347" s="64"/>
      <c r="J347" s="1">
        <f t="shared" si="46"/>
        <v>0</v>
      </c>
      <c r="K347" s="5"/>
      <c r="L347" s="63"/>
      <c r="M347" s="1">
        <f t="shared" si="48"/>
        <v>0</v>
      </c>
      <c r="N347" s="59"/>
    </row>
    <row r="348" spans="1:14" ht="12">
      <c r="A348" s="72"/>
      <c r="B348" s="74" t="s">
        <v>233</v>
      </c>
      <c r="C348" s="3" t="s">
        <v>234</v>
      </c>
      <c r="D348" s="6"/>
      <c r="E348" s="5"/>
      <c r="F348" s="63">
        <v>1</v>
      </c>
      <c r="G348" s="1">
        <f t="shared" si="44"/>
        <v>0</v>
      </c>
      <c r="H348" s="5">
        <f t="shared" si="45"/>
        <v>0</v>
      </c>
      <c r="I348" s="64">
        <v>1</v>
      </c>
      <c r="J348" s="1">
        <f t="shared" si="46"/>
        <v>0</v>
      </c>
      <c r="K348" s="5">
        <f t="shared" si="47"/>
        <v>0</v>
      </c>
      <c r="L348" s="63">
        <v>1</v>
      </c>
      <c r="M348" s="1">
        <f t="shared" si="48"/>
        <v>0</v>
      </c>
      <c r="N348" s="52"/>
    </row>
    <row r="349" spans="1:14" ht="22.5">
      <c r="A349" s="73"/>
      <c r="B349" s="74" t="s">
        <v>235</v>
      </c>
      <c r="C349" s="3" t="s">
        <v>236</v>
      </c>
      <c r="D349" s="6"/>
      <c r="E349" s="5"/>
      <c r="F349" s="63">
        <v>1</v>
      </c>
      <c r="G349" s="1">
        <f t="shared" si="44"/>
        <v>0</v>
      </c>
      <c r="H349" s="5">
        <f t="shared" si="45"/>
        <v>0</v>
      </c>
      <c r="I349" s="64">
        <v>1</v>
      </c>
      <c r="J349" s="1">
        <f t="shared" si="46"/>
        <v>0</v>
      </c>
      <c r="K349" s="5">
        <f t="shared" si="47"/>
        <v>0</v>
      </c>
      <c r="L349" s="63">
        <v>1</v>
      </c>
      <c r="M349" s="1">
        <f t="shared" si="48"/>
        <v>0</v>
      </c>
      <c r="N349" s="52"/>
    </row>
    <row r="350" spans="1:14" ht="12" customHeight="1">
      <c r="A350" s="50">
        <f>1+A347</f>
        <v>41</v>
      </c>
      <c r="B350" s="74" t="s">
        <v>321</v>
      </c>
      <c r="C350" s="3" t="s">
        <v>136</v>
      </c>
      <c r="D350" s="6"/>
      <c r="E350" s="5"/>
      <c r="F350" s="63">
        <v>1</v>
      </c>
      <c r="G350" s="1">
        <f t="shared" si="44"/>
        <v>0</v>
      </c>
      <c r="H350" s="5">
        <f t="shared" si="45"/>
        <v>0</v>
      </c>
      <c r="I350" s="64">
        <v>1</v>
      </c>
      <c r="J350" s="1">
        <f t="shared" si="46"/>
        <v>0</v>
      </c>
      <c r="K350" s="5">
        <f t="shared" si="47"/>
        <v>0</v>
      </c>
      <c r="L350" s="63">
        <v>1</v>
      </c>
      <c r="M350" s="1">
        <f t="shared" si="48"/>
        <v>0</v>
      </c>
      <c r="N350" s="52"/>
    </row>
    <row r="351" spans="1:14" ht="12">
      <c r="A351" s="50">
        <f>1+A350</f>
        <v>42</v>
      </c>
      <c r="B351" s="74" t="s">
        <v>378</v>
      </c>
      <c r="C351" s="3" t="s">
        <v>156</v>
      </c>
      <c r="D351" s="6"/>
      <c r="E351" s="5"/>
      <c r="F351" s="63">
        <v>1</v>
      </c>
      <c r="G351" s="1">
        <f t="shared" si="44"/>
        <v>0</v>
      </c>
      <c r="H351" s="5">
        <f t="shared" si="45"/>
        <v>0</v>
      </c>
      <c r="I351" s="64">
        <v>1</v>
      </c>
      <c r="J351" s="1">
        <f t="shared" si="46"/>
        <v>0</v>
      </c>
      <c r="K351" s="5">
        <f t="shared" si="47"/>
        <v>0</v>
      </c>
      <c r="L351" s="63">
        <v>1</v>
      </c>
      <c r="M351" s="1">
        <f t="shared" si="48"/>
        <v>0</v>
      </c>
      <c r="N351" s="52"/>
    </row>
    <row r="352" spans="1:14" ht="12" customHeight="1">
      <c r="A352" s="50">
        <f aca="true" t="shared" si="50" ref="A352:A357">1+A351</f>
        <v>43</v>
      </c>
      <c r="B352" s="74" t="s">
        <v>462</v>
      </c>
      <c r="C352" s="3" t="s">
        <v>136</v>
      </c>
      <c r="D352" s="6"/>
      <c r="E352" s="5"/>
      <c r="F352" s="63">
        <v>1</v>
      </c>
      <c r="G352" s="1">
        <f t="shared" si="44"/>
        <v>0</v>
      </c>
      <c r="H352" s="5">
        <f t="shared" si="45"/>
        <v>0</v>
      </c>
      <c r="I352" s="64">
        <v>1</v>
      </c>
      <c r="J352" s="1">
        <f t="shared" si="46"/>
        <v>0</v>
      </c>
      <c r="K352" s="5">
        <f t="shared" si="47"/>
        <v>0</v>
      </c>
      <c r="L352" s="63">
        <v>1</v>
      </c>
      <c r="M352" s="1">
        <f t="shared" si="48"/>
        <v>0</v>
      </c>
      <c r="N352" s="52"/>
    </row>
    <row r="353" spans="1:14" ht="12">
      <c r="A353" s="50">
        <f t="shared" si="50"/>
        <v>44</v>
      </c>
      <c r="B353" s="74" t="s">
        <v>314</v>
      </c>
      <c r="C353" s="3" t="s">
        <v>156</v>
      </c>
      <c r="D353" s="6"/>
      <c r="E353" s="5"/>
      <c r="F353" s="63">
        <v>1</v>
      </c>
      <c r="G353" s="1">
        <f t="shared" si="44"/>
        <v>0</v>
      </c>
      <c r="H353" s="5">
        <f t="shared" si="45"/>
        <v>0</v>
      </c>
      <c r="I353" s="64">
        <v>1</v>
      </c>
      <c r="J353" s="1">
        <f t="shared" si="46"/>
        <v>0</v>
      </c>
      <c r="K353" s="5">
        <f t="shared" si="47"/>
        <v>0</v>
      </c>
      <c r="L353" s="63">
        <v>1</v>
      </c>
      <c r="M353" s="1">
        <f t="shared" si="48"/>
        <v>0</v>
      </c>
      <c r="N353" s="52"/>
    </row>
    <row r="354" spans="1:14" ht="24">
      <c r="A354" s="50">
        <f t="shared" si="50"/>
        <v>45</v>
      </c>
      <c r="B354" s="74" t="s">
        <v>320</v>
      </c>
      <c r="C354" s="3" t="s">
        <v>156</v>
      </c>
      <c r="D354" s="6"/>
      <c r="E354" s="5"/>
      <c r="F354" s="63">
        <v>1</v>
      </c>
      <c r="G354" s="1">
        <f t="shared" si="44"/>
        <v>0</v>
      </c>
      <c r="H354" s="5">
        <f t="shared" si="45"/>
        <v>0</v>
      </c>
      <c r="I354" s="64">
        <v>1</v>
      </c>
      <c r="J354" s="1">
        <f t="shared" si="46"/>
        <v>0</v>
      </c>
      <c r="K354" s="5">
        <f t="shared" si="47"/>
        <v>0</v>
      </c>
      <c r="L354" s="63">
        <v>1</v>
      </c>
      <c r="M354" s="1">
        <f t="shared" si="48"/>
        <v>0</v>
      </c>
      <c r="N354" s="52"/>
    </row>
    <row r="355" spans="1:14" ht="12" customHeight="1">
      <c r="A355" s="50">
        <f t="shared" si="50"/>
        <v>46</v>
      </c>
      <c r="B355" s="74" t="s">
        <v>479</v>
      </c>
      <c r="C355" s="3" t="s">
        <v>136</v>
      </c>
      <c r="D355" s="6"/>
      <c r="E355" s="5"/>
      <c r="F355" s="63">
        <v>1</v>
      </c>
      <c r="G355" s="1">
        <f t="shared" si="44"/>
        <v>0</v>
      </c>
      <c r="H355" s="5">
        <f t="shared" si="45"/>
        <v>0</v>
      </c>
      <c r="I355" s="64">
        <v>1</v>
      </c>
      <c r="J355" s="1">
        <f t="shared" si="46"/>
        <v>0</v>
      </c>
      <c r="K355" s="5">
        <f t="shared" si="47"/>
        <v>0</v>
      </c>
      <c r="L355" s="63">
        <v>1</v>
      </c>
      <c r="M355" s="1">
        <f t="shared" si="48"/>
        <v>0</v>
      </c>
      <c r="N355" s="52"/>
    </row>
    <row r="356" spans="1:14" ht="12" customHeight="1">
      <c r="A356" s="50">
        <f t="shared" si="50"/>
        <v>47</v>
      </c>
      <c r="B356" s="74" t="s">
        <v>379</v>
      </c>
      <c r="C356" s="3" t="s">
        <v>136</v>
      </c>
      <c r="D356" s="6"/>
      <c r="E356" s="5"/>
      <c r="F356" s="63">
        <v>1</v>
      </c>
      <c r="G356" s="1">
        <f t="shared" si="44"/>
        <v>0</v>
      </c>
      <c r="H356" s="5">
        <f t="shared" si="45"/>
        <v>0</v>
      </c>
      <c r="I356" s="64">
        <v>1</v>
      </c>
      <c r="J356" s="1">
        <f t="shared" si="46"/>
        <v>0</v>
      </c>
      <c r="K356" s="5">
        <f t="shared" si="47"/>
        <v>0</v>
      </c>
      <c r="L356" s="63">
        <v>1</v>
      </c>
      <c r="M356" s="1">
        <f t="shared" si="48"/>
        <v>0</v>
      </c>
      <c r="N356" s="52"/>
    </row>
    <row r="357" spans="1:14" ht="45">
      <c r="A357" s="50">
        <f t="shared" si="50"/>
        <v>48</v>
      </c>
      <c r="B357" s="81" t="s">
        <v>248</v>
      </c>
      <c r="C357" s="2" t="s">
        <v>290</v>
      </c>
      <c r="D357" s="27"/>
      <c r="E357" s="5"/>
      <c r="F357" s="63">
        <v>1</v>
      </c>
      <c r="G357" s="1">
        <f t="shared" si="44"/>
        <v>0</v>
      </c>
      <c r="H357" s="5">
        <f t="shared" si="45"/>
        <v>0</v>
      </c>
      <c r="I357" s="64">
        <v>1</v>
      </c>
      <c r="J357" s="1">
        <f t="shared" si="46"/>
        <v>0</v>
      </c>
      <c r="K357" s="5">
        <f t="shared" si="47"/>
        <v>0</v>
      </c>
      <c r="L357" s="63">
        <v>1</v>
      </c>
      <c r="M357" s="1">
        <f t="shared" si="48"/>
        <v>0</v>
      </c>
      <c r="N357" s="54"/>
    </row>
    <row r="358" spans="1:36" s="10" customFormat="1" ht="12.75" thickBot="1">
      <c r="A358" s="152"/>
      <c r="B358" s="135" t="s">
        <v>257</v>
      </c>
      <c r="C358" s="153"/>
      <c r="D358" s="154">
        <f>ROUNDDOWN(SUM(D239:D357),2)</f>
        <v>0</v>
      </c>
      <c r="E358" s="154">
        <f>ROUNDDOWN(SUM(E239:E357),2)</f>
        <v>94925.26</v>
      </c>
      <c r="F358" s="154"/>
      <c r="G358" s="154">
        <f>ROUNDDOWN(SUM(G239:G357),0)</f>
        <v>94925</v>
      </c>
      <c r="H358" s="154">
        <f>ROUNDDOWN(SUM(H239:H357),2)</f>
        <v>94925</v>
      </c>
      <c r="I358" s="154"/>
      <c r="J358" s="154">
        <f>ROUNDDOWN(SUM(J239:J357),0)</f>
        <v>94925</v>
      </c>
      <c r="K358" s="154">
        <f>ROUNDDOWN(SUM(K239:K357),2)</f>
        <v>94925</v>
      </c>
      <c r="L358" s="154"/>
      <c r="M358" s="154">
        <f>ROUNDDOWN(SUM(M239:M357),0)</f>
        <v>94925</v>
      </c>
      <c r="N358" s="60"/>
      <c r="S358" s="127"/>
      <c r="T358" s="127"/>
      <c r="U358" s="127"/>
      <c r="V358" s="127"/>
      <c r="W358" s="127"/>
      <c r="X358" s="127"/>
      <c r="Y358" s="127"/>
      <c r="Z358" s="127"/>
      <c r="AA358" s="127"/>
      <c r="AB358" s="127"/>
      <c r="AC358" s="127"/>
      <c r="AD358" s="127"/>
      <c r="AE358" s="127"/>
      <c r="AF358" s="127"/>
      <c r="AG358" s="127"/>
      <c r="AH358" s="127"/>
      <c r="AI358" s="127"/>
      <c r="AJ358" s="127"/>
    </row>
    <row r="359" spans="1:36" s="10" customFormat="1" ht="12.75">
      <c r="A359" s="837" t="s">
        <v>428</v>
      </c>
      <c r="B359" s="849"/>
      <c r="C359" s="190"/>
      <c r="D359" s="192">
        <f>D358+D231+D228+D141+D80+D74+D66+D54+D237</f>
        <v>0</v>
      </c>
      <c r="E359" s="192">
        <f>E358+E231+E228+E141+E80+E74+E66+E54+E237</f>
        <v>551396.88</v>
      </c>
      <c r="F359" s="191"/>
      <c r="G359" s="192">
        <f>G358+G231+G228+G141+G80+G74+G66+G54+G237</f>
        <v>551397</v>
      </c>
      <c r="H359" s="192">
        <f>H358+H231+H228+H141+H80+H74+H66+H54+H237</f>
        <v>551397</v>
      </c>
      <c r="I359" s="191"/>
      <c r="J359" s="192">
        <f>J358+J231+J228+J141+J80+J74+J66+J54+J237</f>
        <v>551397</v>
      </c>
      <c r="K359" s="192">
        <f>K358+K231+K228+K141+K80+K74+K66+K54+K237</f>
        <v>551397</v>
      </c>
      <c r="L359" s="191"/>
      <c r="M359" s="192">
        <f>M358+M231+M228+M141+M80+M74+M66+M54+M237</f>
        <v>551397</v>
      </c>
      <c r="N359" s="193"/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  <c r="AC359" s="127"/>
      <c r="AD359" s="127"/>
      <c r="AE359" s="127"/>
      <c r="AF359" s="127"/>
      <c r="AG359" s="127"/>
      <c r="AH359" s="127"/>
      <c r="AI359" s="127"/>
      <c r="AJ359" s="127"/>
    </row>
    <row r="360" spans="1:36" s="10" customFormat="1" ht="12.75">
      <c r="A360" s="839" t="s">
        <v>429</v>
      </c>
      <c r="B360" s="840"/>
      <c r="C360" s="202"/>
      <c r="D360" s="203"/>
      <c r="E360" s="204"/>
      <c r="F360" s="205"/>
      <c r="G360" s="206"/>
      <c r="H360" s="204"/>
      <c r="I360" s="205"/>
      <c r="J360" s="206"/>
      <c r="K360" s="204"/>
      <c r="L360" s="205"/>
      <c r="M360" s="206"/>
      <c r="N360" s="20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27"/>
      <c r="AF360" s="127"/>
      <c r="AG360" s="127"/>
      <c r="AH360" s="127"/>
      <c r="AI360" s="127"/>
      <c r="AJ360" s="127"/>
    </row>
    <row r="361" spans="1:14" ht="12.75" thickBot="1">
      <c r="A361" s="144" t="s">
        <v>129</v>
      </c>
      <c r="B361" s="145"/>
      <c r="C361" s="244"/>
      <c r="D361" s="147"/>
      <c r="E361" s="148"/>
      <c r="F361" s="149"/>
      <c r="G361" s="150"/>
      <c r="H361" s="148"/>
      <c r="I361" s="149"/>
      <c r="J361" s="150"/>
      <c r="K361" s="148"/>
      <c r="L361" s="149"/>
      <c r="M361" s="150"/>
      <c r="N361" s="151"/>
    </row>
    <row r="362" spans="1:36" s="97" customFormat="1" ht="36.75" thickBot="1">
      <c r="A362" s="262">
        <v>1</v>
      </c>
      <c r="B362" s="263" t="s">
        <v>405</v>
      </c>
      <c r="C362" s="264" t="s">
        <v>156</v>
      </c>
      <c r="D362" s="265"/>
      <c r="E362" s="266"/>
      <c r="F362" s="267">
        <v>1</v>
      </c>
      <c r="G362" s="268">
        <f>ROUND(E362*F362,0)</f>
        <v>0</v>
      </c>
      <c r="H362" s="266">
        <f>G362</f>
        <v>0</v>
      </c>
      <c r="I362" s="100">
        <v>1</v>
      </c>
      <c r="J362" s="268">
        <f>ROUND(H362*I362,0)</f>
        <v>0</v>
      </c>
      <c r="K362" s="266">
        <f>J362</f>
        <v>0</v>
      </c>
      <c r="L362" s="267">
        <v>1</v>
      </c>
      <c r="M362" s="268">
        <f>ROUND(K362*L362,0)</f>
        <v>0</v>
      </c>
      <c r="N362" s="269"/>
      <c r="O362" s="12"/>
      <c r="P362" s="12"/>
      <c r="Q362" s="12"/>
      <c r="R362" s="1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128"/>
      <c r="AE362" s="128"/>
      <c r="AF362" s="128"/>
      <c r="AG362" s="128"/>
      <c r="AH362" s="128"/>
      <c r="AI362" s="128"/>
      <c r="AJ362" s="128"/>
    </row>
    <row r="363" spans="1:36" s="97" customFormat="1" ht="75.75" customHeight="1" thickBot="1">
      <c r="A363" s="270">
        <v>2</v>
      </c>
      <c r="B363" s="271" t="s">
        <v>472</v>
      </c>
      <c r="C363" s="264" t="s">
        <v>156</v>
      </c>
      <c r="D363" s="272"/>
      <c r="E363" s="273"/>
      <c r="F363" s="274">
        <v>1</v>
      </c>
      <c r="G363" s="275">
        <f>ROUND(E363*F363,0)</f>
        <v>0</v>
      </c>
      <c r="H363" s="273">
        <f>G363</f>
        <v>0</v>
      </c>
      <c r="I363" s="276">
        <v>1</v>
      </c>
      <c r="J363" s="275">
        <f>ROUND(H363*I363,0)</f>
        <v>0</v>
      </c>
      <c r="K363" s="273">
        <f>J363</f>
        <v>0</v>
      </c>
      <c r="L363" s="274">
        <v>1</v>
      </c>
      <c r="M363" s="275">
        <f>ROUND(K363*L363,0)</f>
        <v>0</v>
      </c>
      <c r="N363" s="277"/>
      <c r="O363" s="12"/>
      <c r="P363" s="12"/>
      <c r="Q363" s="12"/>
      <c r="R363" s="1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128"/>
      <c r="AE363" s="128"/>
      <c r="AF363" s="128"/>
      <c r="AG363" s="128"/>
      <c r="AH363" s="128"/>
      <c r="AI363" s="128"/>
      <c r="AJ363" s="128"/>
    </row>
    <row r="364" spans="1:36" s="97" customFormat="1" ht="18" customHeight="1">
      <c r="A364" s="854" t="s">
        <v>430</v>
      </c>
      <c r="B364" s="855"/>
      <c r="C364" s="160"/>
      <c r="D364" s="161">
        <f>(D362+D363)</f>
        <v>0</v>
      </c>
      <c r="E364" s="161">
        <f>(E362+E363)</f>
        <v>0</v>
      </c>
      <c r="F364" s="161"/>
      <c r="G364" s="161">
        <f>(G362+G363)</f>
        <v>0</v>
      </c>
      <c r="H364" s="161">
        <f>(H362+H363)</f>
        <v>0</v>
      </c>
      <c r="I364" s="161"/>
      <c r="J364" s="161">
        <f>(J362+J363)</f>
        <v>0</v>
      </c>
      <c r="K364" s="161">
        <f>(K362+K363)</f>
        <v>0</v>
      </c>
      <c r="L364" s="161"/>
      <c r="M364" s="161">
        <f>(M362+M363)</f>
        <v>0</v>
      </c>
      <c r="N364" s="159"/>
      <c r="O364" s="12"/>
      <c r="P364" s="12"/>
      <c r="Q364" s="12"/>
      <c r="R364" s="1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128"/>
      <c r="AE364" s="128"/>
      <c r="AF364" s="128"/>
      <c r="AG364" s="128"/>
      <c r="AH364" s="128"/>
      <c r="AI364" s="128"/>
      <c r="AJ364" s="128"/>
    </row>
    <row r="365" spans="1:36" s="97" customFormat="1" ht="13.5" customHeight="1">
      <c r="A365" s="839" t="s">
        <v>431</v>
      </c>
      <c r="B365" s="840"/>
      <c r="C365" s="208"/>
      <c r="D365" s="209"/>
      <c r="E365" s="210"/>
      <c r="F365" s="211"/>
      <c r="G365" s="206"/>
      <c r="H365" s="210"/>
      <c r="I365" s="211"/>
      <c r="J365" s="206"/>
      <c r="K365" s="210"/>
      <c r="L365" s="211"/>
      <c r="M365" s="206"/>
      <c r="N365" s="212"/>
      <c r="O365" s="12"/>
      <c r="P365" s="12"/>
      <c r="Q365" s="12"/>
      <c r="R365" s="1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128"/>
      <c r="AE365" s="128"/>
      <c r="AF365" s="128"/>
      <c r="AG365" s="128"/>
      <c r="AH365" s="128"/>
      <c r="AI365" s="128"/>
      <c r="AJ365" s="128"/>
    </row>
    <row r="366" spans="1:14" ht="12">
      <c r="A366" s="84" t="s">
        <v>139</v>
      </c>
      <c r="B366" s="85"/>
      <c r="C366" s="99"/>
      <c r="D366" s="87"/>
      <c r="E366" s="88"/>
      <c r="F366" s="89"/>
      <c r="G366" s="90"/>
      <c r="H366" s="88"/>
      <c r="I366" s="89"/>
      <c r="J366" s="90"/>
      <c r="K366" s="88"/>
      <c r="L366" s="89"/>
      <c r="M366" s="90"/>
      <c r="N366" s="91"/>
    </row>
    <row r="367" spans="1:14" ht="22.5">
      <c r="A367" s="73">
        <v>1</v>
      </c>
      <c r="B367" s="196" t="s">
        <v>377</v>
      </c>
      <c r="C367" s="162" t="s">
        <v>467</v>
      </c>
      <c r="D367" s="163"/>
      <c r="E367" s="164"/>
      <c r="F367" s="165">
        <v>1</v>
      </c>
      <c r="G367" s="142">
        <f>ROUND(E367*F367,0)</f>
        <v>0</v>
      </c>
      <c r="H367" s="164">
        <f>G367</f>
        <v>0</v>
      </c>
      <c r="I367" s="141">
        <v>1</v>
      </c>
      <c r="J367" s="142">
        <f>ROUND(H367*I367,0)</f>
        <v>0</v>
      </c>
      <c r="K367" s="164">
        <f>J367</f>
        <v>0</v>
      </c>
      <c r="L367" s="165">
        <v>1</v>
      </c>
      <c r="M367" s="142">
        <f>ROUND(K367*L367,0)</f>
        <v>0</v>
      </c>
      <c r="N367" s="166"/>
    </row>
    <row r="368" spans="1:14" ht="22.5">
      <c r="A368" s="50">
        <v>2</v>
      </c>
      <c r="B368" s="74" t="s">
        <v>432</v>
      </c>
      <c r="C368" s="3" t="s">
        <v>467</v>
      </c>
      <c r="D368" s="6"/>
      <c r="E368" s="5"/>
      <c r="F368" s="165">
        <v>1</v>
      </c>
      <c r="G368" s="1">
        <f>ROUND(E368*F368,0)</f>
        <v>0</v>
      </c>
      <c r="H368" s="5">
        <f>G368</f>
        <v>0</v>
      </c>
      <c r="I368" s="64">
        <v>1</v>
      </c>
      <c r="J368" s="1">
        <f>ROUND(H368*I368,0)</f>
        <v>0</v>
      </c>
      <c r="K368" s="5">
        <f>J368</f>
        <v>0</v>
      </c>
      <c r="L368" s="63">
        <v>1</v>
      </c>
      <c r="M368" s="1">
        <f>ROUND(K368*L368,0)</f>
        <v>0</v>
      </c>
      <c r="N368" s="52"/>
    </row>
    <row r="369" spans="1:14" ht="12.75" thickBot="1">
      <c r="A369" s="50"/>
      <c r="B369" s="135" t="s">
        <v>152</v>
      </c>
      <c r="C369" s="2"/>
      <c r="D369" s="171">
        <f>ROUNDDOWN((D367+D368),2)</f>
        <v>0</v>
      </c>
      <c r="E369" s="171">
        <f>ROUNDDOWN((E367+E368),2)</f>
        <v>0</v>
      </c>
      <c r="F369" s="171"/>
      <c r="G369" s="171">
        <f>ROUNDDOWN((G367+G368),0)</f>
        <v>0</v>
      </c>
      <c r="H369" s="171">
        <f>ROUNDDOWN((H367+H368),2)</f>
        <v>0</v>
      </c>
      <c r="I369" s="171"/>
      <c r="J369" s="171">
        <f>ROUNDDOWN((J367+J368),0)</f>
        <v>0</v>
      </c>
      <c r="K369" s="171">
        <f>ROUNDDOWN((K367+K368),2)</f>
        <v>0</v>
      </c>
      <c r="L369" s="171"/>
      <c r="M369" s="171">
        <f>ROUNDDOWN((M367+M368),0)</f>
        <v>0</v>
      </c>
      <c r="N369" s="53"/>
    </row>
    <row r="370" spans="1:14" ht="12.75">
      <c r="A370" s="837" t="s">
        <v>433</v>
      </c>
      <c r="B370" s="838"/>
      <c r="C370" s="195"/>
      <c r="D370" s="194">
        <f>ROUNDDOWN(D369,2)</f>
        <v>0</v>
      </c>
      <c r="E370" s="194">
        <f>ROUNDDOWN(E369,2)</f>
        <v>0</v>
      </c>
      <c r="F370" s="194"/>
      <c r="G370" s="194">
        <f>ROUNDDOWN(G369,0)</f>
        <v>0</v>
      </c>
      <c r="H370" s="194">
        <f>ROUNDDOWN(H369,2)</f>
        <v>0</v>
      </c>
      <c r="I370" s="194"/>
      <c r="J370" s="194">
        <f>ROUNDDOWN(J369,0)</f>
        <v>0</v>
      </c>
      <c r="K370" s="194">
        <f>ROUNDDOWN(K369,2)</f>
        <v>0</v>
      </c>
      <c r="L370" s="194"/>
      <c r="M370" s="194">
        <f>ROUNDDOWN(M369,0)</f>
        <v>0</v>
      </c>
      <c r="N370" s="193"/>
    </row>
    <row r="371" spans="1:14" ht="12.75">
      <c r="A371" s="839" t="s">
        <v>434</v>
      </c>
      <c r="B371" s="840"/>
      <c r="C371" s="213"/>
      <c r="D371" s="203"/>
      <c r="E371" s="214"/>
      <c r="F371" s="215"/>
      <c r="G371" s="216"/>
      <c r="H371" s="214"/>
      <c r="I371" s="215"/>
      <c r="J371" s="216"/>
      <c r="K371" s="214"/>
      <c r="L371" s="215"/>
      <c r="M371" s="216"/>
      <c r="N371" s="207"/>
    </row>
    <row r="372" spans="1:14" ht="24">
      <c r="A372" s="73">
        <v>1</v>
      </c>
      <c r="B372" s="196" t="s">
        <v>137</v>
      </c>
      <c r="C372" s="162" t="s">
        <v>138</v>
      </c>
      <c r="D372" s="163"/>
      <c r="E372" s="164"/>
      <c r="F372" s="165">
        <v>1</v>
      </c>
      <c r="G372" s="142">
        <f>ROUND(E372*F372,0)</f>
        <v>0</v>
      </c>
      <c r="H372" s="164">
        <f>G372</f>
        <v>0</v>
      </c>
      <c r="I372" s="141">
        <v>1</v>
      </c>
      <c r="J372" s="142">
        <f>ROUND(H372*I372,0)</f>
        <v>0</v>
      </c>
      <c r="K372" s="164">
        <f>J372</f>
        <v>0</v>
      </c>
      <c r="L372" s="165">
        <v>1</v>
      </c>
      <c r="M372" s="142">
        <f>ROUND(K372*L372,0)</f>
        <v>0</v>
      </c>
      <c r="N372" s="166"/>
    </row>
    <row r="373" spans="1:14" ht="36">
      <c r="A373" s="50">
        <f>1+A372</f>
        <v>2</v>
      </c>
      <c r="B373" s="74" t="s">
        <v>245</v>
      </c>
      <c r="C373" s="3" t="s">
        <v>138</v>
      </c>
      <c r="D373" s="6"/>
      <c r="E373" s="5"/>
      <c r="F373" s="63">
        <v>1</v>
      </c>
      <c r="G373" s="142">
        <f aca="true" t="shared" si="51" ref="G373:G383">ROUND(E373*F373,0)</f>
        <v>0</v>
      </c>
      <c r="H373" s="5">
        <f aca="true" t="shared" si="52" ref="H373:H383">G373</f>
        <v>0</v>
      </c>
      <c r="I373" s="64">
        <v>1</v>
      </c>
      <c r="J373" s="142">
        <f aca="true" t="shared" si="53" ref="J373:J383">ROUND(H373*I373,0)</f>
        <v>0</v>
      </c>
      <c r="K373" s="5">
        <f aca="true" t="shared" si="54" ref="K373:K383">J373</f>
        <v>0</v>
      </c>
      <c r="L373" s="63">
        <v>1</v>
      </c>
      <c r="M373" s="142">
        <f aca="true" t="shared" si="55" ref="M373:M383">ROUND(K373*L373,0)</f>
        <v>0</v>
      </c>
      <c r="N373" s="52"/>
    </row>
    <row r="374" spans="1:14" ht="24">
      <c r="A374" s="50">
        <f aca="true" t="shared" si="56" ref="A374:A382">1+A373</f>
        <v>3</v>
      </c>
      <c r="B374" s="74" t="s">
        <v>246</v>
      </c>
      <c r="C374" s="3" t="s">
        <v>138</v>
      </c>
      <c r="D374" s="6"/>
      <c r="E374" s="5"/>
      <c r="F374" s="63">
        <v>1</v>
      </c>
      <c r="G374" s="142">
        <f t="shared" si="51"/>
        <v>0</v>
      </c>
      <c r="H374" s="5">
        <f t="shared" si="52"/>
        <v>0</v>
      </c>
      <c r="I374" s="64">
        <v>1</v>
      </c>
      <c r="J374" s="142">
        <f t="shared" si="53"/>
        <v>0</v>
      </c>
      <c r="K374" s="5">
        <f t="shared" si="54"/>
        <v>0</v>
      </c>
      <c r="L374" s="63">
        <v>1</v>
      </c>
      <c r="M374" s="142">
        <f t="shared" si="55"/>
        <v>0</v>
      </c>
      <c r="N374" s="52"/>
    </row>
    <row r="375" spans="1:14" ht="36">
      <c r="A375" s="50">
        <f t="shared" si="56"/>
        <v>4</v>
      </c>
      <c r="B375" s="74" t="s">
        <v>247</v>
      </c>
      <c r="C375" s="3" t="s">
        <v>138</v>
      </c>
      <c r="D375" s="6"/>
      <c r="E375" s="5"/>
      <c r="F375" s="63">
        <v>1</v>
      </c>
      <c r="G375" s="142">
        <f t="shared" si="51"/>
        <v>0</v>
      </c>
      <c r="H375" s="5">
        <f t="shared" si="52"/>
        <v>0</v>
      </c>
      <c r="I375" s="64">
        <v>1</v>
      </c>
      <c r="J375" s="142">
        <f t="shared" si="53"/>
        <v>0</v>
      </c>
      <c r="K375" s="5">
        <f t="shared" si="54"/>
        <v>0</v>
      </c>
      <c r="L375" s="63">
        <v>1</v>
      </c>
      <c r="M375" s="142">
        <f t="shared" si="55"/>
        <v>0</v>
      </c>
      <c r="N375" s="52"/>
    </row>
    <row r="376" spans="1:14" ht="24">
      <c r="A376" s="50">
        <f t="shared" si="56"/>
        <v>5</v>
      </c>
      <c r="B376" s="74" t="s">
        <v>249</v>
      </c>
      <c r="C376" s="3" t="s">
        <v>387</v>
      </c>
      <c r="D376" s="6"/>
      <c r="E376" s="5"/>
      <c r="F376" s="63">
        <v>1</v>
      </c>
      <c r="G376" s="142">
        <f t="shared" si="51"/>
        <v>0</v>
      </c>
      <c r="H376" s="5">
        <f t="shared" si="52"/>
        <v>0</v>
      </c>
      <c r="I376" s="64">
        <v>1</v>
      </c>
      <c r="J376" s="142">
        <f t="shared" si="53"/>
        <v>0</v>
      </c>
      <c r="K376" s="5">
        <f t="shared" si="54"/>
        <v>0</v>
      </c>
      <c r="L376" s="63">
        <v>1</v>
      </c>
      <c r="M376" s="142">
        <f t="shared" si="55"/>
        <v>0</v>
      </c>
      <c r="N376" s="52" t="s">
        <v>488</v>
      </c>
    </row>
    <row r="377" spans="1:14" ht="24">
      <c r="A377" s="50">
        <f t="shared" si="56"/>
        <v>6</v>
      </c>
      <c r="B377" s="74" t="s">
        <v>250</v>
      </c>
      <c r="C377" s="3" t="s">
        <v>382</v>
      </c>
      <c r="D377" s="6"/>
      <c r="E377" s="5"/>
      <c r="F377" s="63">
        <v>1</v>
      </c>
      <c r="G377" s="142">
        <f t="shared" si="51"/>
        <v>0</v>
      </c>
      <c r="H377" s="5">
        <f t="shared" si="52"/>
        <v>0</v>
      </c>
      <c r="I377" s="64">
        <v>1</v>
      </c>
      <c r="J377" s="142">
        <f t="shared" si="53"/>
        <v>0</v>
      </c>
      <c r="K377" s="5">
        <f t="shared" si="54"/>
        <v>0</v>
      </c>
      <c r="L377" s="63">
        <v>1</v>
      </c>
      <c r="M377" s="142">
        <f t="shared" si="55"/>
        <v>0</v>
      </c>
      <c r="N377" s="52"/>
    </row>
    <row r="378" spans="1:14" ht="22.5">
      <c r="A378" s="50">
        <f t="shared" si="56"/>
        <v>7</v>
      </c>
      <c r="B378" s="74" t="s">
        <v>251</v>
      </c>
      <c r="C378" s="3" t="s">
        <v>387</v>
      </c>
      <c r="D378" s="6"/>
      <c r="E378" s="5"/>
      <c r="F378" s="63">
        <v>1</v>
      </c>
      <c r="G378" s="142">
        <f t="shared" si="51"/>
        <v>0</v>
      </c>
      <c r="H378" s="5">
        <f t="shared" si="52"/>
        <v>0</v>
      </c>
      <c r="I378" s="64">
        <v>1</v>
      </c>
      <c r="J378" s="142">
        <f t="shared" si="53"/>
        <v>0</v>
      </c>
      <c r="K378" s="5">
        <f t="shared" si="54"/>
        <v>0</v>
      </c>
      <c r="L378" s="63">
        <v>1</v>
      </c>
      <c r="M378" s="142">
        <f t="shared" si="55"/>
        <v>0</v>
      </c>
      <c r="N378" s="52" t="s">
        <v>488</v>
      </c>
    </row>
    <row r="379" spans="1:14" ht="24">
      <c r="A379" s="50">
        <f t="shared" si="56"/>
        <v>8</v>
      </c>
      <c r="B379" s="74" t="s">
        <v>386</v>
      </c>
      <c r="C379" s="3" t="s">
        <v>387</v>
      </c>
      <c r="D379" s="6"/>
      <c r="E379" s="5"/>
      <c r="F379" s="63">
        <v>1</v>
      </c>
      <c r="G379" s="142">
        <f t="shared" si="51"/>
        <v>0</v>
      </c>
      <c r="H379" s="5">
        <f t="shared" si="52"/>
        <v>0</v>
      </c>
      <c r="I379" s="64">
        <v>1</v>
      </c>
      <c r="J379" s="142">
        <f t="shared" si="53"/>
        <v>0</v>
      </c>
      <c r="K379" s="5">
        <f t="shared" si="54"/>
        <v>0</v>
      </c>
      <c r="L379" s="63">
        <v>1</v>
      </c>
      <c r="M379" s="142">
        <f t="shared" si="55"/>
        <v>0</v>
      </c>
      <c r="N379" s="52"/>
    </row>
    <row r="380" spans="1:14" ht="24">
      <c r="A380" s="50">
        <f t="shared" si="56"/>
        <v>9</v>
      </c>
      <c r="B380" s="74" t="s">
        <v>252</v>
      </c>
      <c r="C380" s="3" t="s">
        <v>387</v>
      </c>
      <c r="D380" s="6"/>
      <c r="E380" s="5"/>
      <c r="F380" s="63">
        <v>1</v>
      </c>
      <c r="G380" s="142">
        <f t="shared" si="51"/>
        <v>0</v>
      </c>
      <c r="H380" s="5">
        <f t="shared" si="52"/>
        <v>0</v>
      </c>
      <c r="I380" s="64">
        <v>1</v>
      </c>
      <c r="J380" s="142">
        <f t="shared" si="53"/>
        <v>0</v>
      </c>
      <c r="K380" s="5">
        <f t="shared" si="54"/>
        <v>0</v>
      </c>
      <c r="L380" s="63">
        <v>1</v>
      </c>
      <c r="M380" s="142">
        <f t="shared" si="55"/>
        <v>0</v>
      </c>
      <c r="N380" s="52" t="s">
        <v>488</v>
      </c>
    </row>
    <row r="381" spans="1:14" ht="22.5">
      <c r="A381" s="50">
        <f t="shared" si="56"/>
        <v>10</v>
      </c>
      <c r="B381" s="74" t="s">
        <v>385</v>
      </c>
      <c r="C381" s="3" t="s">
        <v>387</v>
      </c>
      <c r="D381" s="6"/>
      <c r="E381" s="5"/>
      <c r="F381" s="63">
        <v>1</v>
      </c>
      <c r="G381" s="142">
        <f t="shared" si="51"/>
        <v>0</v>
      </c>
      <c r="H381" s="5">
        <f t="shared" si="52"/>
        <v>0</v>
      </c>
      <c r="I381" s="64">
        <v>1</v>
      </c>
      <c r="J381" s="142">
        <f t="shared" si="53"/>
        <v>0</v>
      </c>
      <c r="K381" s="5">
        <f t="shared" si="54"/>
        <v>0</v>
      </c>
      <c r="L381" s="63">
        <v>1</v>
      </c>
      <c r="M381" s="142">
        <f t="shared" si="55"/>
        <v>0</v>
      </c>
      <c r="N381" s="52"/>
    </row>
    <row r="382" spans="1:14" ht="22.5">
      <c r="A382" s="50">
        <f t="shared" si="56"/>
        <v>11</v>
      </c>
      <c r="B382" s="74" t="s">
        <v>265</v>
      </c>
      <c r="C382" s="3" t="s">
        <v>467</v>
      </c>
      <c r="D382" s="6"/>
      <c r="E382" s="5"/>
      <c r="F382" s="63">
        <v>1</v>
      </c>
      <c r="G382" s="142">
        <f t="shared" si="51"/>
        <v>0</v>
      </c>
      <c r="H382" s="5">
        <f>G382</f>
        <v>0</v>
      </c>
      <c r="I382" s="64">
        <v>1</v>
      </c>
      <c r="J382" s="142">
        <f t="shared" si="53"/>
        <v>0</v>
      </c>
      <c r="K382" s="5">
        <f t="shared" si="54"/>
        <v>0</v>
      </c>
      <c r="L382" s="63">
        <v>1</v>
      </c>
      <c r="M382" s="142">
        <f t="shared" si="55"/>
        <v>0</v>
      </c>
      <c r="N382" s="52"/>
    </row>
    <row r="383" spans="1:36" s="10" customFormat="1" ht="36.75" customHeight="1">
      <c r="A383" s="50">
        <f>A382</f>
        <v>11</v>
      </c>
      <c r="B383" s="75" t="s">
        <v>248</v>
      </c>
      <c r="C383" s="4" t="s">
        <v>335</v>
      </c>
      <c r="D383" s="37"/>
      <c r="E383" s="5"/>
      <c r="F383" s="63">
        <v>1</v>
      </c>
      <c r="G383" s="142">
        <f t="shared" si="51"/>
        <v>0</v>
      </c>
      <c r="H383" s="5">
        <f t="shared" si="52"/>
        <v>0</v>
      </c>
      <c r="I383" s="64">
        <v>1</v>
      </c>
      <c r="J383" s="142">
        <f t="shared" si="53"/>
        <v>0</v>
      </c>
      <c r="K383" s="5">
        <f t="shared" si="54"/>
        <v>0</v>
      </c>
      <c r="L383" s="63">
        <v>1</v>
      </c>
      <c r="M383" s="142">
        <f t="shared" si="55"/>
        <v>0</v>
      </c>
      <c r="N383" s="58"/>
      <c r="S383" s="127"/>
      <c r="T383" s="127"/>
      <c r="U383" s="127"/>
      <c r="V383" s="127"/>
      <c r="W383" s="127"/>
      <c r="X383" s="127"/>
      <c r="Y383" s="127"/>
      <c r="Z383" s="127"/>
      <c r="AA383" s="127"/>
      <c r="AB383" s="127"/>
      <c r="AC383" s="127"/>
      <c r="AD383" s="127"/>
      <c r="AE383" s="127"/>
      <c r="AF383" s="127"/>
      <c r="AG383" s="127"/>
      <c r="AH383" s="127"/>
      <c r="AI383" s="127"/>
      <c r="AJ383" s="127"/>
    </row>
    <row r="384" spans="1:14" ht="12.75" thickBot="1">
      <c r="A384" s="33"/>
      <c r="B384" s="79" t="s">
        <v>152</v>
      </c>
      <c r="C384" s="153"/>
      <c r="D384" s="154">
        <f>ROUNDDOWN(SUM(D372:D383),2)</f>
        <v>0</v>
      </c>
      <c r="E384" s="154">
        <f>ROUNDDOWN(SUM(E372:E383),2)</f>
        <v>0</v>
      </c>
      <c r="F384" s="154"/>
      <c r="G384" s="154">
        <f>ROUNDDOWN(SUM(G372:G383),0)</f>
        <v>0</v>
      </c>
      <c r="H384" s="154">
        <f>ROUNDDOWN(SUM(H372:H383),2)</f>
        <v>0</v>
      </c>
      <c r="I384" s="154"/>
      <c r="J384" s="154">
        <f>ROUNDDOWN(SUM(J372:J383),0)</f>
        <v>0</v>
      </c>
      <c r="K384" s="154">
        <f>ROUNDDOWN(SUM(K372:K383),2)</f>
        <v>0</v>
      </c>
      <c r="L384" s="154"/>
      <c r="M384" s="154">
        <f>ROUNDDOWN(SUM(M372:M383),0)</f>
        <v>0</v>
      </c>
      <c r="N384" s="60"/>
    </row>
    <row r="385" spans="1:14" ht="13.5" thickBot="1">
      <c r="A385" s="841" t="s">
        <v>435</v>
      </c>
      <c r="B385" s="858"/>
      <c r="C385" s="167"/>
      <c r="D385" s="168">
        <f>ROUNDDOWN(D384,2)</f>
        <v>0</v>
      </c>
      <c r="E385" s="168">
        <f>ROUNDDOWN(E384,2)</f>
        <v>0</v>
      </c>
      <c r="F385" s="168"/>
      <c r="G385" s="168">
        <f>ROUNDDOWN(G384,0)</f>
        <v>0</v>
      </c>
      <c r="H385" s="168">
        <f>ROUNDDOWN(H384,2)</f>
        <v>0</v>
      </c>
      <c r="I385" s="168"/>
      <c r="J385" s="168">
        <f>ROUNDDOWN(J384,0)</f>
        <v>0</v>
      </c>
      <c r="K385" s="168">
        <f>ROUNDDOWN(K384,2)</f>
        <v>0</v>
      </c>
      <c r="L385" s="168"/>
      <c r="M385" s="168">
        <f>ROUNDDOWN(M384,0)</f>
        <v>0</v>
      </c>
      <c r="N385" s="169"/>
    </row>
    <row r="386" spans="1:18" ht="13.5" customHeight="1" thickBot="1">
      <c r="A386" s="856" t="s">
        <v>411</v>
      </c>
      <c r="B386" s="857"/>
      <c r="C386" s="260"/>
      <c r="D386" s="279">
        <f>D385+D370+D364+D359+D30+D16</f>
        <v>0</v>
      </c>
      <c r="E386" s="280">
        <f>E385+E370+E364+E359+E30+E16</f>
        <v>553736.88</v>
      </c>
      <c r="F386" s="281"/>
      <c r="G386" s="278">
        <f>G385+G370+G364+G359+G30+G16</f>
        <v>553737</v>
      </c>
      <c r="H386" s="280">
        <f>H385+H370+H364+H359+H30+H16</f>
        <v>553737</v>
      </c>
      <c r="I386" s="281"/>
      <c r="J386" s="278">
        <f>J385+J370+J364+J359+J30+J16</f>
        <v>553737</v>
      </c>
      <c r="K386" s="280">
        <f>K385+K370+K364+K359+K30+K16</f>
        <v>553737</v>
      </c>
      <c r="L386" s="281"/>
      <c r="M386" s="278">
        <f>M385+M370+M364+M359+M30+M16</f>
        <v>553737</v>
      </c>
      <c r="N386" s="261"/>
      <c r="O386" s="82"/>
      <c r="P386" s="82"/>
      <c r="Q386" s="82"/>
      <c r="R386" s="82"/>
    </row>
    <row r="387" spans="1:18" ht="55.5" customHeight="1">
      <c r="A387" s="302">
        <v>1</v>
      </c>
      <c r="B387" s="259" t="s">
        <v>470</v>
      </c>
      <c r="C387" s="3" t="s">
        <v>486</v>
      </c>
      <c r="D387" s="282"/>
      <c r="E387" s="717">
        <v>0</v>
      </c>
      <c r="F387" s="718">
        <v>1</v>
      </c>
      <c r="G387" s="715">
        <f>ROUNDDOWN((E387*F387),0)</f>
        <v>0</v>
      </c>
      <c r="H387" s="717">
        <v>0</v>
      </c>
      <c r="I387" s="718">
        <v>1</v>
      </c>
      <c r="J387" s="715">
        <f>ROUNDDOWN((H387*I387),0)</f>
        <v>0</v>
      </c>
      <c r="K387" s="717">
        <f aca="true" t="shared" si="57" ref="K387:K392">J387</f>
        <v>0</v>
      </c>
      <c r="L387" s="718">
        <v>1</v>
      </c>
      <c r="M387" s="715">
        <f>ROUNDDOWN((K387*L387),0)</f>
        <v>0</v>
      </c>
      <c r="N387" s="180" t="s">
        <v>518</v>
      </c>
      <c r="O387" s="82"/>
      <c r="P387" s="82"/>
      <c r="Q387" s="82"/>
      <c r="R387" s="82"/>
    </row>
    <row r="388" spans="1:18" ht="15.75" customHeight="1">
      <c r="A388" s="303">
        <f>A387+1</f>
        <v>2</v>
      </c>
      <c r="B388" s="98" t="s">
        <v>468</v>
      </c>
      <c r="C388" s="3" t="s">
        <v>156</v>
      </c>
      <c r="D388" s="6"/>
      <c r="E388" s="708"/>
      <c r="F388" s="709">
        <v>1</v>
      </c>
      <c r="G388" s="715">
        <f aca="true" t="shared" si="58" ref="G388:G397">ROUNDDOWN((E388*F388),0)</f>
        <v>0</v>
      </c>
      <c r="H388" s="708"/>
      <c r="I388" s="709">
        <v>1</v>
      </c>
      <c r="J388" s="715">
        <f aca="true" t="shared" si="59" ref="J388:J397">ROUNDDOWN((H388*I388),0)</f>
        <v>0</v>
      </c>
      <c r="K388" s="708">
        <f t="shared" si="57"/>
        <v>0</v>
      </c>
      <c r="L388" s="709">
        <v>1</v>
      </c>
      <c r="M388" s="715">
        <f aca="true" t="shared" si="60" ref="M388:M397">ROUNDDOWN((K388*L388),0)</f>
        <v>0</v>
      </c>
      <c r="N388" s="52"/>
      <c r="O388" s="82"/>
      <c r="P388" s="82"/>
      <c r="Q388" s="82"/>
      <c r="R388" s="82"/>
    </row>
    <row r="389" spans="1:18" ht="24">
      <c r="A389" s="303">
        <f aca="true" t="shared" si="61" ref="A389:A397">A388+1</f>
        <v>3</v>
      </c>
      <c r="B389" s="98" t="s">
        <v>469</v>
      </c>
      <c r="C389" s="3" t="s">
        <v>156</v>
      </c>
      <c r="D389" s="6"/>
      <c r="E389" s="708"/>
      <c r="F389" s="709">
        <v>1</v>
      </c>
      <c r="G389" s="715">
        <f t="shared" si="58"/>
        <v>0</v>
      </c>
      <c r="H389" s="708"/>
      <c r="I389" s="709">
        <v>1</v>
      </c>
      <c r="J389" s="715">
        <f t="shared" si="59"/>
        <v>0</v>
      </c>
      <c r="K389" s="708">
        <f t="shared" si="57"/>
        <v>0</v>
      </c>
      <c r="L389" s="709">
        <v>1</v>
      </c>
      <c r="M389" s="715">
        <f t="shared" si="60"/>
        <v>0</v>
      </c>
      <c r="N389" s="52"/>
      <c r="O389" s="82"/>
      <c r="P389" s="82"/>
      <c r="Q389" s="82"/>
      <c r="R389" s="82"/>
    </row>
    <row r="390" spans="1:18" ht="60">
      <c r="A390" s="303">
        <f t="shared" si="61"/>
        <v>4</v>
      </c>
      <c r="B390" s="98" t="s">
        <v>456</v>
      </c>
      <c r="C390" s="3" t="s">
        <v>487</v>
      </c>
      <c r="D390" s="6"/>
      <c r="E390" s="708"/>
      <c r="F390" s="709">
        <v>1</v>
      </c>
      <c r="G390" s="715">
        <f t="shared" si="58"/>
        <v>0</v>
      </c>
      <c r="H390" s="708"/>
      <c r="I390" s="709">
        <v>1</v>
      </c>
      <c r="J390" s="715">
        <f t="shared" si="59"/>
        <v>0</v>
      </c>
      <c r="K390" s="708">
        <f t="shared" si="57"/>
        <v>0</v>
      </c>
      <c r="L390" s="709">
        <v>1</v>
      </c>
      <c r="M390" s="715">
        <f t="shared" si="60"/>
        <v>0</v>
      </c>
      <c r="N390" s="52" t="s">
        <v>485</v>
      </c>
      <c r="O390" s="82"/>
      <c r="P390" s="82"/>
      <c r="Q390" s="82"/>
      <c r="R390" s="82"/>
    </row>
    <row r="391" spans="1:18" ht="36">
      <c r="A391" s="303">
        <f t="shared" si="61"/>
        <v>5</v>
      </c>
      <c r="B391" s="98" t="s">
        <v>457</v>
      </c>
      <c r="C391" s="3" t="s">
        <v>473</v>
      </c>
      <c r="D391" s="6"/>
      <c r="E391" s="708"/>
      <c r="F391" s="709">
        <v>1</v>
      </c>
      <c r="G391" s="715">
        <f t="shared" si="58"/>
        <v>0</v>
      </c>
      <c r="H391" s="708"/>
      <c r="I391" s="709">
        <v>1</v>
      </c>
      <c r="J391" s="715">
        <f t="shared" si="59"/>
        <v>0</v>
      </c>
      <c r="K391" s="708">
        <f t="shared" si="57"/>
        <v>0</v>
      </c>
      <c r="L391" s="709">
        <v>1</v>
      </c>
      <c r="M391" s="715">
        <f t="shared" si="60"/>
        <v>0</v>
      </c>
      <c r="N391" s="52" t="s">
        <v>485</v>
      </c>
      <c r="O391" s="82"/>
      <c r="P391" s="82"/>
      <c r="Q391" s="82"/>
      <c r="R391" s="82"/>
    </row>
    <row r="392" spans="1:18" ht="63" customHeight="1">
      <c r="A392" s="303">
        <f t="shared" si="61"/>
        <v>6</v>
      </c>
      <c r="B392" s="98" t="s">
        <v>483</v>
      </c>
      <c r="C392" s="3" t="s">
        <v>156</v>
      </c>
      <c r="D392" s="6"/>
      <c r="E392" s="708"/>
      <c r="F392" s="709">
        <v>1</v>
      </c>
      <c r="G392" s="715">
        <f t="shared" si="58"/>
        <v>0</v>
      </c>
      <c r="H392" s="708">
        <f>G392</f>
        <v>0</v>
      </c>
      <c r="I392" s="709">
        <v>1</v>
      </c>
      <c r="J392" s="715">
        <f t="shared" si="59"/>
        <v>0</v>
      </c>
      <c r="K392" s="708">
        <f t="shared" si="57"/>
        <v>0</v>
      </c>
      <c r="L392" s="709">
        <v>1</v>
      </c>
      <c r="M392" s="715">
        <f t="shared" si="60"/>
        <v>0</v>
      </c>
      <c r="N392" s="52"/>
      <c r="O392" s="82"/>
      <c r="P392" s="82"/>
      <c r="Q392" s="82"/>
      <c r="R392" s="82"/>
    </row>
    <row r="393" spans="1:18" ht="60">
      <c r="A393" s="303">
        <f t="shared" si="61"/>
        <v>7</v>
      </c>
      <c r="B393" s="98" t="s">
        <v>484</v>
      </c>
      <c r="C393" s="3" t="s">
        <v>418</v>
      </c>
      <c r="D393" s="6"/>
      <c r="E393" s="708"/>
      <c r="F393" s="709">
        <v>1</v>
      </c>
      <c r="G393" s="715">
        <f t="shared" si="58"/>
        <v>0</v>
      </c>
      <c r="H393" s="708">
        <f>H392*30.2%</f>
        <v>0</v>
      </c>
      <c r="I393" s="709">
        <v>1</v>
      </c>
      <c r="J393" s="715">
        <f t="shared" si="59"/>
        <v>0</v>
      </c>
      <c r="K393" s="708">
        <f>K392*30.2%</f>
        <v>0</v>
      </c>
      <c r="L393" s="709">
        <v>1</v>
      </c>
      <c r="M393" s="715">
        <f t="shared" si="60"/>
        <v>0</v>
      </c>
      <c r="N393" s="52"/>
      <c r="O393" s="82"/>
      <c r="P393" s="82"/>
      <c r="Q393" s="82"/>
      <c r="R393" s="82"/>
    </row>
    <row r="394" spans="1:36" s="35" customFormat="1" ht="132">
      <c r="A394" s="303">
        <f t="shared" si="61"/>
        <v>8</v>
      </c>
      <c r="B394" s="98" t="s">
        <v>471</v>
      </c>
      <c r="C394" s="3" t="s">
        <v>131</v>
      </c>
      <c r="D394" s="6"/>
      <c r="E394" s="708"/>
      <c r="F394" s="709">
        <v>1</v>
      </c>
      <c r="G394" s="715">
        <f t="shared" si="58"/>
        <v>0</v>
      </c>
      <c r="H394" s="708"/>
      <c r="I394" s="709">
        <v>1</v>
      </c>
      <c r="J394" s="715">
        <f t="shared" si="59"/>
        <v>0</v>
      </c>
      <c r="K394" s="708">
        <f>J394</f>
        <v>0</v>
      </c>
      <c r="L394" s="709">
        <v>1</v>
      </c>
      <c r="M394" s="715">
        <f t="shared" si="60"/>
        <v>0</v>
      </c>
      <c r="N394" s="52" t="s">
        <v>485</v>
      </c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129"/>
      <c r="AE394" s="129"/>
      <c r="AF394" s="129"/>
      <c r="AG394" s="129"/>
      <c r="AH394" s="129"/>
      <c r="AI394" s="129"/>
      <c r="AJ394" s="129"/>
    </row>
    <row r="395" spans="1:14" ht="45">
      <c r="A395" s="303">
        <f t="shared" si="61"/>
        <v>9</v>
      </c>
      <c r="B395" s="118" t="s">
        <v>463</v>
      </c>
      <c r="C395" s="119" t="s">
        <v>327</v>
      </c>
      <c r="D395" s="120"/>
      <c r="E395" s="708"/>
      <c r="F395" s="709">
        <v>1</v>
      </c>
      <c r="G395" s="715">
        <f t="shared" si="58"/>
        <v>0</v>
      </c>
      <c r="H395" s="708"/>
      <c r="I395" s="709">
        <v>1</v>
      </c>
      <c r="J395" s="715">
        <f t="shared" si="59"/>
        <v>0</v>
      </c>
      <c r="K395" s="708">
        <f>J395</f>
        <v>0</v>
      </c>
      <c r="L395" s="709">
        <v>1</v>
      </c>
      <c r="M395" s="715">
        <f t="shared" si="60"/>
        <v>0</v>
      </c>
      <c r="N395" s="181" t="s">
        <v>485</v>
      </c>
    </row>
    <row r="396" spans="1:14" ht="72.75" customHeight="1">
      <c r="A396" s="303">
        <f t="shared" si="61"/>
        <v>10</v>
      </c>
      <c r="B396" s="98" t="s">
        <v>464</v>
      </c>
      <c r="C396" s="3" t="s">
        <v>406</v>
      </c>
      <c r="D396" s="6"/>
      <c r="E396" s="708"/>
      <c r="F396" s="709">
        <v>1</v>
      </c>
      <c r="G396" s="715">
        <f t="shared" si="58"/>
        <v>0</v>
      </c>
      <c r="H396" s="708"/>
      <c r="I396" s="709">
        <v>1</v>
      </c>
      <c r="J396" s="715">
        <f t="shared" si="59"/>
        <v>0</v>
      </c>
      <c r="K396" s="708">
        <f>J396</f>
        <v>0</v>
      </c>
      <c r="L396" s="709">
        <v>1</v>
      </c>
      <c r="M396" s="715">
        <f t="shared" si="60"/>
        <v>0</v>
      </c>
      <c r="N396" s="52" t="s">
        <v>485</v>
      </c>
    </row>
    <row r="397" spans="1:14" ht="48">
      <c r="A397" s="303">
        <f t="shared" si="61"/>
        <v>11</v>
      </c>
      <c r="B397" s="98" t="s">
        <v>465</v>
      </c>
      <c r="C397" s="3" t="s">
        <v>466</v>
      </c>
      <c r="D397" s="27"/>
      <c r="E397" s="719">
        <v>0</v>
      </c>
      <c r="F397" s="720">
        <v>1</v>
      </c>
      <c r="G397" s="715">
        <f t="shared" si="58"/>
        <v>0</v>
      </c>
      <c r="H397" s="719">
        <v>0</v>
      </c>
      <c r="I397" s="720">
        <v>1</v>
      </c>
      <c r="J397" s="715">
        <f t="shared" si="59"/>
        <v>0</v>
      </c>
      <c r="K397" s="719">
        <f>J397</f>
        <v>0</v>
      </c>
      <c r="L397" s="720">
        <v>1</v>
      </c>
      <c r="M397" s="715">
        <f t="shared" si="60"/>
        <v>0</v>
      </c>
      <c r="N397" s="52" t="s">
        <v>518</v>
      </c>
    </row>
    <row r="398" spans="1:14" ht="12.75" thickBot="1">
      <c r="A398" s="130" t="s">
        <v>306</v>
      </c>
      <c r="B398" s="131"/>
      <c r="C398" s="132"/>
      <c r="D398" s="174">
        <f>SUM(D386:D397)</f>
        <v>0</v>
      </c>
      <c r="E398" s="177">
        <f>SUM(E386:E397)</f>
        <v>553736.88</v>
      </c>
      <c r="F398" s="133"/>
      <c r="G398" s="178">
        <f>SUM(G386:G397)</f>
        <v>553737</v>
      </c>
      <c r="H398" s="177">
        <f>SUM(H386:H397)</f>
        <v>553737</v>
      </c>
      <c r="I398" s="133"/>
      <c r="J398" s="178">
        <f>SUM(J386:J397)</f>
        <v>553737</v>
      </c>
      <c r="K398" s="177">
        <f>SUM(K386:K397)</f>
        <v>553737</v>
      </c>
      <c r="L398" s="133"/>
      <c r="M398" s="178">
        <f>SUM(M386:M397)</f>
        <v>553737</v>
      </c>
      <c r="N398" s="182"/>
    </row>
    <row r="399" spans="1:36" s="106" customFormat="1" ht="15.75">
      <c r="A399" s="43"/>
      <c r="B399" s="16"/>
      <c r="C399" s="44"/>
      <c r="D399" s="17"/>
      <c r="E399" s="11"/>
      <c r="F399" s="62"/>
      <c r="G399" s="17"/>
      <c r="H399" s="11"/>
      <c r="I399" s="62"/>
      <c r="J399" s="17"/>
      <c r="K399" s="11"/>
      <c r="L399" s="62"/>
      <c r="M399" s="17"/>
      <c r="N399" s="12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</row>
    <row r="400" spans="1:18" ht="15.75">
      <c r="A400" s="101"/>
      <c r="B400" s="102"/>
      <c r="C400" s="103"/>
      <c r="D400" s="103"/>
      <c r="E400" s="104"/>
      <c r="F400" s="105"/>
      <c r="G400" s="103"/>
      <c r="H400" s="104"/>
      <c r="I400" s="105"/>
      <c r="J400" s="103"/>
      <c r="K400" s="104"/>
      <c r="L400" s="105"/>
      <c r="M400" s="106"/>
      <c r="N400" s="107"/>
      <c r="O400" s="82"/>
      <c r="P400" s="82"/>
      <c r="Q400" s="82"/>
      <c r="R400" s="82"/>
    </row>
    <row r="401" spans="2:18" ht="17.25" customHeight="1">
      <c r="B401" s="117"/>
      <c r="D401" s="11"/>
      <c r="E401" s="62"/>
      <c r="F401" s="17"/>
      <c r="G401" s="11"/>
      <c r="H401" s="62"/>
      <c r="I401" s="17"/>
      <c r="J401" s="11"/>
      <c r="K401" s="62"/>
      <c r="L401" s="17"/>
      <c r="M401" s="12"/>
      <c r="N401" s="82"/>
      <c r="O401" s="82"/>
      <c r="P401" s="82"/>
      <c r="Q401" s="82"/>
      <c r="R401" s="82"/>
    </row>
    <row r="402" spans="3:18" ht="12.75" customHeight="1">
      <c r="C402" s="108" t="s">
        <v>1197</v>
      </c>
      <c r="D402" s="818" t="s">
        <v>1199</v>
      </c>
      <c r="E402" s="110"/>
      <c r="F402" s="109"/>
      <c r="G402" s="109"/>
      <c r="H402" s="820" t="s">
        <v>1198</v>
      </c>
      <c r="I402" s="821"/>
      <c r="J402" s="112"/>
      <c r="K402" s="110"/>
      <c r="L402" s="111"/>
      <c r="M402" s="82"/>
      <c r="N402" s="82"/>
      <c r="O402" s="82"/>
      <c r="P402" s="82"/>
      <c r="Q402" s="82"/>
      <c r="R402" s="82"/>
    </row>
    <row r="403" spans="4:18" ht="12">
      <c r="D403" s="819"/>
      <c r="E403" s="114"/>
      <c r="F403" s="113"/>
      <c r="G403" s="113"/>
      <c r="H403" s="115" t="s">
        <v>415</v>
      </c>
      <c r="I403" s="12"/>
      <c r="J403" s="116"/>
      <c r="K403" s="114"/>
      <c r="L403" s="115"/>
      <c r="M403" s="82"/>
      <c r="N403" s="82"/>
      <c r="O403" s="82"/>
      <c r="P403" s="82"/>
      <c r="Q403" s="82"/>
      <c r="R403" s="82"/>
    </row>
    <row r="404" spans="4:18" ht="12">
      <c r="D404" s="116"/>
      <c r="E404" s="62"/>
      <c r="F404" s="11"/>
      <c r="G404" s="11"/>
      <c r="H404" s="17"/>
      <c r="I404" s="11"/>
      <c r="J404" s="11"/>
      <c r="K404" s="62"/>
      <c r="L404" s="17"/>
      <c r="M404" s="12"/>
      <c r="N404" s="82"/>
      <c r="O404" s="82"/>
      <c r="P404" s="82"/>
      <c r="Q404" s="82"/>
      <c r="R404" s="82"/>
    </row>
    <row r="405" spans="4:18" ht="12">
      <c r="D405" s="116"/>
      <c r="E405" s="62"/>
      <c r="F405" s="11"/>
      <c r="G405" s="11"/>
      <c r="H405" s="17"/>
      <c r="I405" s="11"/>
      <c r="J405" s="11"/>
      <c r="K405" s="62"/>
      <c r="L405" s="17"/>
      <c r="M405" s="12"/>
      <c r="N405" s="82"/>
      <c r="O405" s="82"/>
      <c r="P405" s="82"/>
      <c r="Q405" s="82"/>
      <c r="R405" s="82"/>
    </row>
    <row r="406" spans="4:18" ht="12">
      <c r="D406" s="116"/>
      <c r="E406" s="62"/>
      <c r="F406" s="11"/>
      <c r="G406" s="11"/>
      <c r="H406" s="17"/>
      <c r="I406" s="11"/>
      <c r="J406" s="11"/>
      <c r="K406" s="62"/>
      <c r="L406" s="17"/>
      <c r="M406" s="12"/>
      <c r="N406" s="82"/>
      <c r="O406" s="82"/>
      <c r="P406" s="82"/>
      <c r="Q406" s="82"/>
      <c r="R406" s="82"/>
    </row>
    <row r="407" spans="3:18" ht="12.75" customHeight="1">
      <c r="C407" s="108" t="s">
        <v>416</v>
      </c>
      <c r="D407" s="818" t="s">
        <v>416</v>
      </c>
      <c r="E407" s="110"/>
      <c r="F407" s="109"/>
      <c r="G407" s="109"/>
      <c r="H407" s="820" t="s">
        <v>1196</v>
      </c>
      <c r="I407" s="821"/>
      <c r="J407" s="11"/>
      <c r="K407" s="62"/>
      <c r="L407" s="17"/>
      <c r="M407" s="12"/>
      <c r="N407" s="82"/>
      <c r="O407" s="82"/>
      <c r="P407" s="82"/>
      <c r="Q407" s="82"/>
      <c r="R407" s="82"/>
    </row>
    <row r="408" spans="4:14" ht="12">
      <c r="D408" s="819"/>
      <c r="E408" s="114"/>
      <c r="F408" s="113"/>
      <c r="G408" s="113"/>
      <c r="H408" s="115" t="s">
        <v>415</v>
      </c>
      <c r="I408" s="12"/>
      <c r="J408" s="11"/>
      <c r="K408" s="62"/>
      <c r="L408" s="17"/>
      <c r="M408" s="12"/>
      <c r="N408" s="82"/>
    </row>
    <row r="409" spans="8:9" ht="12">
      <c r="H409" s="62"/>
      <c r="I409" s="17"/>
    </row>
  </sheetData>
  <sheetProtection/>
  <mergeCells count="24">
    <mergeCell ref="C3:G3"/>
    <mergeCell ref="B4:B7"/>
    <mergeCell ref="C4:C7"/>
    <mergeCell ref="D4:M5"/>
    <mergeCell ref="D6:D7"/>
    <mergeCell ref="E6:G6"/>
    <mergeCell ref="N4:N7"/>
    <mergeCell ref="A386:B386"/>
    <mergeCell ref="A360:B360"/>
    <mergeCell ref="A364:B364"/>
    <mergeCell ref="A365:B365"/>
    <mergeCell ref="A370:B370"/>
    <mergeCell ref="A371:B371"/>
    <mergeCell ref="A385:B385"/>
    <mergeCell ref="A17:B17"/>
    <mergeCell ref="A30:B30"/>
    <mergeCell ref="H402:I402"/>
    <mergeCell ref="H407:I407"/>
    <mergeCell ref="A9:B9"/>
    <mergeCell ref="A16:B16"/>
    <mergeCell ref="H6:J6"/>
    <mergeCell ref="K6:M6"/>
    <mergeCell ref="A31:B31"/>
    <mergeCell ref="A359:B359"/>
  </mergeCells>
  <printOptions/>
  <pageMargins left="0" right="0" top="0.1968503937007874" bottom="0.1968503937007874" header="0.5118110236220472" footer="0.5118110236220472"/>
  <pageSetup fitToHeight="50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4">
      <selection activeCell="B17" sqref="B17:J17"/>
    </sheetView>
  </sheetViews>
  <sheetFormatPr defaultColWidth="9.00390625" defaultRowHeight="12.75"/>
  <cols>
    <col min="2" max="2" width="13.625" style="0" customWidth="1"/>
    <col min="11" max="11" width="13.75390625" style="0" customWidth="1"/>
  </cols>
  <sheetData>
    <row r="1" spans="1:11" ht="15.75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6.5">
      <c r="A2" s="926" t="s">
        <v>704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</row>
    <row r="3" spans="1:11" ht="15.75">
      <c r="A3" s="926" t="s">
        <v>705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</row>
    <row r="4" spans="1:11" ht="15.75">
      <c r="A4" s="964"/>
      <c r="B4" s="964"/>
      <c r="C4" s="964"/>
      <c r="D4" s="964"/>
      <c r="E4" s="964"/>
      <c r="F4" s="964"/>
      <c r="G4" s="964"/>
      <c r="H4" s="964"/>
      <c r="I4" s="964"/>
      <c r="J4" s="964"/>
      <c r="K4" s="964"/>
    </row>
    <row r="5" spans="1:11" ht="15.75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</row>
    <row r="6" spans="1:11" ht="15.75">
      <c r="A6" s="389" t="s">
        <v>706</v>
      </c>
      <c r="B6" s="1085" t="s">
        <v>2</v>
      </c>
      <c r="C6" s="1086"/>
      <c r="D6" s="1086"/>
      <c r="E6" s="1086"/>
      <c r="F6" s="1086"/>
      <c r="G6" s="1086"/>
      <c r="H6" s="1086"/>
      <c r="I6" s="1086"/>
      <c r="J6" s="1087"/>
      <c r="K6" s="391" t="s">
        <v>295</v>
      </c>
    </row>
    <row r="7" spans="1:11" ht="48.75" customHeight="1">
      <c r="A7" s="392">
        <v>1</v>
      </c>
      <c r="B7" s="1041" t="s">
        <v>707</v>
      </c>
      <c r="C7" s="1042"/>
      <c r="D7" s="1042"/>
      <c r="E7" s="1042"/>
      <c r="F7" s="1042"/>
      <c r="G7" s="1042"/>
      <c r="H7" s="1042"/>
      <c r="I7" s="1042"/>
      <c r="J7" s="1043"/>
      <c r="K7" s="393"/>
    </row>
    <row r="8" spans="1:11" ht="15.75">
      <c r="A8" s="392"/>
      <c r="B8" s="1088" t="s">
        <v>708</v>
      </c>
      <c r="C8" s="1089"/>
      <c r="D8" s="1089"/>
      <c r="E8" s="1089"/>
      <c r="F8" s="1089"/>
      <c r="G8" s="1089"/>
      <c r="H8" s="1089"/>
      <c r="I8" s="1089"/>
      <c r="J8" s="390"/>
      <c r="K8" s="393"/>
    </row>
    <row r="9" spans="1:11" ht="15.75">
      <c r="A9" s="1091"/>
      <c r="B9" s="388"/>
      <c r="C9" s="388"/>
      <c r="D9" s="388"/>
      <c r="E9" s="388"/>
      <c r="F9" s="388"/>
      <c r="G9" s="388"/>
      <c r="H9" s="388"/>
      <c r="I9" s="388"/>
      <c r="J9" s="388"/>
      <c r="K9" s="1093">
        <f>ROUND(B10*E10,2)</f>
        <v>33270</v>
      </c>
    </row>
    <row r="10" spans="1:11" ht="15.75">
      <c r="A10" s="1092"/>
      <c r="B10" s="395">
        <v>11090</v>
      </c>
      <c r="C10" s="396" t="s">
        <v>709</v>
      </c>
      <c r="D10" s="396" t="s">
        <v>710</v>
      </c>
      <c r="E10" s="396">
        <v>3</v>
      </c>
      <c r="F10" s="396" t="s">
        <v>711</v>
      </c>
      <c r="G10" s="396"/>
      <c r="H10" s="396"/>
      <c r="I10" s="397"/>
      <c r="J10" s="398"/>
      <c r="K10" s="1094"/>
    </row>
    <row r="11" spans="1:11" ht="93.75" customHeight="1">
      <c r="A11" s="389">
        <v>2</v>
      </c>
      <c r="B11" s="1041" t="s">
        <v>712</v>
      </c>
      <c r="C11" s="1042"/>
      <c r="D11" s="1042"/>
      <c r="E11" s="1042"/>
      <c r="F11" s="1042"/>
      <c r="G11" s="1042"/>
      <c r="H11" s="1042"/>
      <c r="I11" s="1042"/>
      <c r="J11" s="1043"/>
      <c r="K11" s="399"/>
    </row>
    <row r="12" spans="1:11" ht="15.75">
      <c r="A12" s="392"/>
      <c r="B12" s="400" t="s">
        <v>713</v>
      </c>
      <c r="C12" s="400"/>
      <c r="D12" s="400"/>
      <c r="E12" s="400"/>
      <c r="F12" s="400"/>
      <c r="G12" s="400"/>
      <c r="H12" s="400"/>
      <c r="I12" s="400"/>
      <c r="J12" s="401"/>
      <c r="K12" s="393"/>
    </row>
    <row r="13" spans="1:11" ht="31.5">
      <c r="A13" s="1095"/>
      <c r="B13" s="403"/>
      <c r="C13" s="404" t="s">
        <v>709</v>
      </c>
      <c r="D13" s="405" t="s">
        <v>710</v>
      </c>
      <c r="E13" s="405"/>
      <c r="F13" s="404" t="s">
        <v>711</v>
      </c>
      <c r="G13" s="405" t="s">
        <v>710</v>
      </c>
      <c r="H13" s="405">
        <v>1</v>
      </c>
      <c r="I13" s="405" t="s">
        <v>714</v>
      </c>
      <c r="J13" s="405"/>
      <c r="K13" s="406">
        <f>ROUND(B13*E13*H13,2)</f>
        <v>0</v>
      </c>
    </row>
    <row r="14" spans="1:11" ht="15.75">
      <c r="A14" s="1095"/>
      <c r="B14" s="403"/>
      <c r="C14" s="404"/>
      <c r="D14" s="405"/>
      <c r="E14" s="405"/>
      <c r="F14" s="404"/>
      <c r="G14" s="405"/>
      <c r="H14" s="405"/>
      <c r="I14" s="405"/>
      <c r="J14" s="405"/>
      <c r="K14" s="406"/>
    </row>
    <row r="15" spans="1:11" ht="15.75">
      <c r="A15" s="1095"/>
      <c r="B15" s="407" t="s">
        <v>715</v>
      </c>
      <c r="C15" s="405"/>
      <c r="D15" s="405"/>
      <c r="E15" s="405"/>
      <c r="F15" s="405"/>
      <c r="G15" s="405"/>
      <c r="H15" s="405"/>
      <c r="I15" s="405"/>
      <c r="J15" s="405"/>
      <c r="K15" s="406"/>
    </row>
    <row r="16" spans="1:11" ht="31.5">
      <c r="A16" s="1095"/>
      <c r="B16" s="403"/>
      <c r="C16" s="404" t="s">
        <v>709</v>
      </c>
      <c r="D16" s="404" t="s">
        <v>710</v>
      </c>
      <c r="E16" s="401"/>
      <c r="F16" s="404" t="s">
        <v>711</v>
      </c>
      <c r="G16" s="404" t="s">
        <v>710</v>
      </c>
      <c r="H16" s="404">
        <v>1</v>
      </c>
      <c r="I16" s="405" t="s">
        <v>714</v>
      </c>
      <c r="J16" s="408"/>
      <c r="K16" s="406">
        <f>ROUND(B16*E16*H16,2)</f>
        <v>0</v>
      </c>
    </row>
    <row r="17" spans="1:11" ht="96.75" customHeight="1">
      <c r="A17" s="389">
        <v>3</v>
      </c>
      <c r="B17" s="1041" t="s">
        <v>716</v>
      </c>
      <c r="C17" s="1042"/>
      <c r="D17" s="1042"/>
      <c r="E17" s="1042"/>
      <c r="F17" s="1042"/>
      <c r="G17" s="1042"/>
      <c r="H17" s="1042"/>
      <c r="I17" s="1042"/>
      <c r="J17" s="1043"/>
      <c r="K17" s="399">
        <f>ROUND(K19+K22,2)</f>
        <v>0</v>
      </c>
    </row>
    <row r="18" spans="1:11" ht="15.75">
      <c r="A18" s="392"/>
      <c r="B18" s="400" t="s">
        <v>713</v>
      </c>
      <c r="C18" s="400"/>
      <c r="D18" s="400"/>
      <c r="E18" s="400"/>
      <c r="F18" s="400"/>
      <c r="G18" s="400"/>
      <c r="H18" s="400"/>
      <c r="I18" s="400"/>
      <c r="J18" s="401"/>
      <c r="K18" s="393"/>
    </row>
    <row r="19" spans="1:11" ht="31.5">
      <c r="A19" s="1095"/>
      <c r="B19" s="403"/>
      <c r="C19" s="404" t="s">
        <v>709</v>
      </c>
      <c r="D19" s="405" t="s">
        <v>710</v>
      </c>
      <c r="E19" s="405"/>
      <c r="F19" s="404" t="s">
        <v>711</v>
      </c>
      <c r="G19" s="405" t="s">
        <v>710</v>
      </c>
      <c r="H19" s="405"/>
      <c r="I19" s="405" t="s">
        <v>714</v>
      </c>
      <c r="J19" s="405"/>
      <c r="K19" s="406">
        <f>ROUND(B19*E19*H19,2)</f>
        <v>0</v>
      </c>
    </row>
    <row r="20" spans="1:11" ht="15.75">
      <c r="A20" s="1095"/>
      <c r="B20" s="403"/>
      <c r="C20" s="404"/>
      <c r="D20" s="405"/>
      <c r="E20" s="405"/>
      <c r="F20" s="404"/>
      <c r="G20" s="405"/>
      <c r="H20" s="405"/>
      <c r="I20" s="405"/>
      <c r="J20" s="405"/>
      <c r="K20" s="406"/>
    </row>
    <row r="21" spans="1:11" ht="15.75">
      <c r="A21" s="1095"/>
      <c r="B21" s="407" t="s">
        <v>715</v>
      </c>
      <c r="C21" s="405"/>
      <c r="D21" s="405"/>
      <c r="E21" s="405"/>
      <c r="F21" s="405"/>
      <c r="G21" s="405"/>
      <c r="H21" s="405"/>
      <c r="I21" s="405"/>
      <c r="J21" s="405"/>
      <c r="K21" s="406"/>
    </row>
    <row r="22" spans="1:11" ht="31.5">
      <c r="A22" s="1095"/>
      <c r="B22" s="403"/>
      <c r="C22" s="404" t="s">
        <v>709</v>
      </c>
      <c r="D22" s="404" t="s">
        <v>710</v>
      </c>
      <c r="E22" s="404"/>
      <c r="F22" s="404" t="s">
        <v>711</v>
      </c>
      <c r="G22" s="404" t="s">
        <v>710</v>
      </c>
      <c r="H22" s="404"/>
      <c r="I22" s="405" t="s">
        <v>714</v>
      </c>
      <c r="J22" s="408"/>
      <c r="K22" s="406">
        <f>ROUND(B22*E22*H22,2)</f>
        <v>0</v>
      </c>
    </row>
    <row r="23" spans="1:11" ht="15.75">
      <c r="A23" s="402"/>
      <c r="B23" s="1090" t="s">
        <v>717</v>
      </c>
      <c r="C23" s="1090"/>
      <c r="D23" s="1090"/>
      <c r="E23" s="1090"/>
      <c r="F23" s="1090"/>
      <c r="G23" s="1090"/>
      <c r="H23" s="1090"/>
      <c r="I23" s="1090"/>
      <c r="J23" s="1090"/>
      <c r="K23" s="409">
        <f>K11+K9</f>
        <v>33270</v>
      </c>
    </row>
    <row r="24" spans="1:11" ht="15.75">
      <c r="A24" s="388"/>
      <c r="B24" s="388"/>
      <c r="C24" s="410"/>
      <c r="D24" s="388"/>
      <c r="E24" s="388"/>
      <c r="F24" s="388"/>
      <c r="G24" s="388"/>
      <c r="H24" s="388"/>
      <c r="I24" s="388"/>
      <c r="J24" s="388"/>
      <c r="K24" s="388"/>
    </row>
    <row r="25" spans="1:11" ht="15.75">
      <c r="A25" s="388"/>
      <c r="B25" s="388"/>
      <c r="C25" s="410"/>
      <c r="D25" s="388"/>
      <c r="E25" s="388"/>
      <c r="F25" s="388"/>
      <c r="G25" s="388"/>
      <c r="H25" s="388"/>
      <c r="I25" s="388"/>
      <c r="J25" s="411"/>
      <c r="K25" s="388"/>
    </row>
    <row r="26" spans="1:11" ht="15.75">
      <c r="A26" s="388"/>
      <c r="B26" s="388"/>
      <c r="C26" s="410"/>
      <c r="D26" s="388"/>
      <c r="E26" s="388"/>
      <c r="F26" s="388"/>
      <c r="G26" s="388"/>
      <c r="H26" s="388"/>
      <c r="I26" s="388"/>
      <c r="J26" s="388"/>
      <c r="K26" s="388"/>
    </row>
  </sheetData>
  <sheetProtection/>
  <mergeCells count="13">
    <mergeCell ref="B23:J23"/>
    <mergeCell ref="A9:A10"/>
    <mergeCell ref="K9:K10"/>
    <mergeCell ref="B11:J11"/>
    <mergeCell ref="A13:A16"/>
    <mergeCell ref="B17:J17"/>
    <mergeCell ref="A19:A22"/>
    <mergeCell ref="A2:K2"/>
    <mergeCell ref="A3:K3"/>
    <mergeCell ref="A4:K4"/>
    <mergeCell ref="B6:J6"/>
    <mergeCell ref="B7:J7"/>
    <mergeCell ref="B8:I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29" sqref="G29:H29"/>
    </sheetView>
  </sheetViews>
  <sheetFormatPr defaultColWidth="9.00390625" defaultRowHeight="12.75"/>
  <cols>
    <col min="7" max="7" width="14.25390625" style="0" customWidth="1"/>
  </cols>
  <sheetData>
    <row r="1" spans="1:8" ht="14.25">
      <c r="A1" s="1096" t="s">
        <v>718</v>
      </c>
      <c r="B1" s="1096"/>
      <c r="C1" s="1096"/>
      <c r="D1" s="1096"/>
      <c r="E1" s="1096"/>
      <c r="F1" s="1096"/>
      <c r="G1" s="1096"/>
      <c r="H1" s="1096"/>
    </row>
    <row r="2" spans="1:8" ht="15">
      <c r="A2" s="1097" t="s">
        <v>719</v>
      </c>
      <c r="B2" s="1097"/>
      <c r="C2" s="1097"/>
      <c r="D2" s="1097"/>
      <c r="E2" s="1097"/>
      <c r="F2" s="1097"/>
      <c r="G2" s="1097"/>
      <c r="H2" s="1097"/>
    </row>
    <row r="3" spans="1:8" ht="49.5" customHeight="1">
      <c r="A3" s="412"/>
      <c r="B3" s="1098" t="s">
        <v>720</v>
      </c>
      <c r="C3" s="1098"/>
      <c r="D3" s="1098"/>
      <c r="E3" s="1098"/>
      <c r="F3" s="1098"/>
      <c r="G3" s="412"/>
      <c r="H3" s="412"/>
    </row>
    <row r="4" spans="1:8" ht="15">
      <c r="A4" s="413" t="s">
        <v>721</v>
      </c>
      <c r="B4" s="413"/>
      <c r="C4" s="414"/>
      <c r="D4" s="414"/>
      <c r="E4" s="414"/>
      <c r="F4" s="414"/>
      <c r="G4" s="414"/>
      <c r="H4" s="414"/>
    </row>
    <row r="5" spans="1:8" ht="15">
      <c r="A5" s="1099" t="s">
        <v>722</v>
      </c>
      <c r="B5" s="1099"/>
      <c r="C5" s="1099"/>
      <c r="D5" s="1099"/>
      <c r="E5" s="1099"/>
      <c r="F5" s="1099"/>
      <c r="G5" s="415">
        <v>301.58</v>
      </c>
      <c r="H5" s="414"/>
    </row>
    <row r="6" spans="1:8" ht="15">
      <c r="A6" s="1100" t="s">
        <v>723</v>
      </c>
      <c r="B6" s="1100"/>
      <c r="C6" s="1100"/>
      <c r="D6" s="1100"/>
      <c r="E6" s="1100"/>
      <c r="F6" s="1100"/>
      <c r="G6" s="416">
        <f>ROUND(G5*1,2)</f>
        <v>301.58</v>
      </c>
      <c r="H6" s="414"/>
    </row>
    <row r="7" spans="1:8" ht="15">
      <c r="A7" s="417"/>
      <c r="B7" s="417"/>
      <c r="C7" s="417"/>
      <c r="D7" s="417"/>
      <c r="E7" s="417"/>
      <c r="F7" s="417"/>
      <c r="G7" s="416"/>
      <c r="H7" s="414"/>
    </row>
    <row r="8" spans="1:8" ht="15">
      <c r="A8" s="1101" t="s">
        <v>724</v>
      </c>
      <c r="B8" s="1101"/>
      <c r="C8" s="1101"/>
      <c r="D8" s="1101"/>
      <c r="E8" s="1101"/>
      <c r="F8" s="1101"/>
      <c r="G8" s="418">
        <v>3</v>
      </c>
      <c r="H8" s="414"/>
    </row>
    <row r="9" spans="1:8" ht="15">
      <c r="A9" s="1101" t="s">
        <v>725</v>
      </c>
      <c r="B9" s="1101"/>
      <c r="C9" s="1101"/>
      <c r="D9" s="1101"/>
      <c r="E9" s="1101"/>
      <c r="F9" s="1101"/>
      <c r="G9" s="418">
        <v>40</v>
      </c>
      <c r="H9" s="414"/>
    </row>
    <row r="10" spans="1:8" ht="15">
      <c r="A10" s="1102" t="s">
        <v>726</v>
      </c>
      <c r="B10" s="1103"/>
      <c r="C10" s="1103"/>
      <c r="D10" s="1103"/>
      <c r="E10" s="1103"/>
      <c r="F10" s="1104"/>
      <c r="G10" s="419">
        <f>G8*G9*G6</f>
        <v>36189.6</v>
      </c>
      <c r="H10" s="414"/>
    </row>
    <row r="11" spans="1:8" ht="15">
      <c r="A11" s="412"/>
      <c r="B11" s="412"/>
      <c r="C11" s="412"/>
      <c r="D11" s="412"/>
      <c r="E11" s="412"/>
      <c r="F11" s="412"/>
      <c r="G11" s="416"/>
      <c r="H11" s="412"/>
    </row>
    <row r="12" spans="1:8" ht="15">
      <c r="A12" s="413" t="s">
        <v>727</v>
      </c>
      <c r="B12" s="413"/>
      <c r="C12" s="414"/>
      <c r="D12" s="414"/>
      <c r="E12" s="414"/>
      <c r="F12" s="414"/>
      <c r="G12" s="414"/>
      <c r="H12" s="414"/>
    </row>
    <row r="13" spans="1:8" ht="15">
      <c r="A13" s="413"/>
      <c r="B13" s="413"/>
      <c r="C13" s="414"/>
      <c r="D13" s="414"/>
      <c r="E13" s="414"/>
      <c r="F13" s="414"/>
      <c r="G13" s="414"/>
      <c r="H13" s="414"/>
    </row>
    <row r="14" spans="1:8" ht="15">
      <c r="A14" s="1099" t="s">
        <v>722</v>
      </c>
      <c r="B14" s="1099"/>
      <c r="C14" s="1099"/>
      <c r="D14" s="1099"/>
      <c r="E14" s="1099"/>
      <c r="F14" s="1099"/>
      <c r="G14" s="415">
        <v>331.74</v>
      </c>
      <c r="H14" s="414"/>
    </row>
    <row r="15" spans="1:8" ht="15">
      <c r="A15" s="1100" t="s">
        <v>728</v>
      </c>
      <c r="B15" s="1100"/>
      <c r="C15" s="1100"/>
      <c r="D15" s="1100"/>
      <c r="E15" s="1100"/>
      <c r="F15" s="1100"/>
      <c r="G15" s="416">
        <f>ROUND(G14*1,2)</f>
        <v>331.74</v>
      </c>
      <c r="H15" s="414"/>
    </row>
    <row r="16" spans="1:8" ht="15">
      <c r="A16" s="413"/>
      <c r="B16" s="413"/>
      <c r="C16" s="414"/>
      <c r="D16" s="414"/>
      <c r="E16" s="414"/>
      <c r="F16" s="414"/>
      <c r="G16" s="414"/>
      <c r="H16" s="414"/>
    </row>
    <row r="17" spans="1:8" ht="15">
      <c r="A17" s="1101" t="s">
        <v>724</v>
      </c>
      <c r="B17" s="1101"/>
      <c r="C17" s="1101"/>
      <c r="D17" s="1101"/>
      <c r="E17" s="1101"/>
      <c r="F17" s="1101"/>
      <c r="G17" s="418">
        <v>3</v>
      </c>
      <c r="H17" s="414"/>
    </row>
    <row r="18" spans="1:8" ht="15">
      <c r="A18" s="1105" t="s">
        <v>725</v>
      </c>
      <c r="B18" s="1106"/>
      <c r="C18" s="1106"/>
      <c r="D18" s="1106"/>
      <c r="E18" s="1106"/>
      <c r="F18" s="1107"/>
      <c r="G18" s="418">
        <v>168</v>
      </c>
      <c r="H18" s="414"/>
    </row>
    <row r="19" spans="1:8" ht="15">
      <c r="A19" s="1102" t="s">
        <v>729</v>
      </c>
      <c r="B19" s="1103"/>
      <c r="C19" s="1103"/>
      <c r="D19" s="1103"/>
      <c r="E19" s="1103"/>
      <c r="F19" s="1104"/>
      <c r="G19" s="419">
        <f>G15*G17*G18</f>
        <v>167196.96</v>
      </c>
      <c r="H19" s="414"/>
    </row>
    <row r="20" spans="1:8" ht="15">
      <c r="A20" s="412"/>
      <c r="B20" s="412"/>
      <c r="C20" s="412"/>
      <c r="D20" s="412"/>
      <c r="E20" s="412"/>
      <c r="F20" s="412"/>
      <c r="G20" s="416"/>
      <c r="H20" s="412"/>
    </row>
    <row r="21" spans="1:8" ht="16.5">
      <c r="A21" s="1108"/>
      <c r="B21" s="1108"/>
      <c r="C21" s="1108"/>
      <c r="D21" s="1108"/>
      <c r="E21" s="1108"/>
      <c r="F21" s="1108"/>
      <c r="G21" s="420"/>
      <c r="H21" s="421"/>
    </row>
    <row r="22" spans="1:8" ht="15">
      <c r="A22" s="1108"/>
      <c r="B22" s="1108"/>
      <c r="C22" s="1108"/>
      <c r="D22" s="1108"/>
      <c r="E22" s="1108"/>
      <c r="F22" s="1108"/>
      <c r="G22" s="422"/>
      <c r="H22" s="423"/>
    </row>
    <row r="23" spans="1:8" ht="15">
      <c r="A23" s="1109" t="s">
        <v>730</v>
      </c>
      <c r="B23" s="1109"/>
      <c r="C23" s="1109"/>
      <c r="D23" s="1109"/>
      <c r="E23" s="1109"/>
      <c r="F23" s="1109"/>
      <c r="G23" s="425">
        <v>1</v>
      </c>
      <c r="H23" s="426"/>
    </row>
    <row r="24" spans="1:8" ht="15">
      <c r="A24" s="424"/>
      <c r="B24" s="424"/>
      <c r="C24" s="424"/>
      <c r="D24" s="1110" t="s">
        <v>731</v>
      </c>
      <c r="E24" s="1110"/>
      <c r="F24" s="1110"/>
      <c r="G24" s="427">
        <f>(G10+G19)*G23</f>
        <v>203386.56</v>
      </c>
      <c r="H24" s="421" t="s">
        <v>709</v>
      </c>
    </row>
    <row r="25" spans="1:8" ht="15">
      <c r="A25" s="424"/>
      <c r="B25" s="424"/>
      <c r="C25" s="424"/>
      <c r="D25" s="414"/>
      <c r="E25" s="414"/>
      <c r="F25" s="414"/>
      <c r="G25" s="414"/>
      <c r="H25" s="414"/>
    </row>
    <row r="26" spans="1:8" ht="15">
      <c r="A26" s="414"/>
      <c r="B26" s="414"/>
      <c r="C26" s="414"/>
      <c r="D26" s="414"/>
      <c r="E26" s="414"/>
      <c r="F26" s="414"/>
      <c r="G26" s="414"/>
      <c r="H26" s="414"/>
    </row>
    <row r="27" spans="1:8" ht="15">
      <c r="A27" s="414"/>
      <c r="B27" s="414"/>
      <c r="C27" s="414"/>
      <c r="D27" s="414"/>
      <c r="E27" s="414"/>
      <c r="F27" s="414"/>
      <c r="G27" s="414"/>
      <c r="H27" s="414"/>
    </row>
    <row r="28" spans="1:8" ht="15">
      <c r="A28" s="414"/>
      <c r="B28" s="414"/>
      <c r="C28" s="414"/>
      <c r="D28" s="414"/>
      <c r="E28" s="414"/>
      <c r="F28" s="414"/>
      <c r="G28" s="414"/>
      <c r="H28" s="414"/>
    </row>
    <row r="29" spans="1:8" ht="15.75">
      <c r="A29" s="428" t="s">
        <v>414</v>
      </c>
      <c r="B29" s="429"/>
      <c r="C29" s="429"/>
      <c r="D29" s="429" t="s">
        <v>732</v>
      </c>
      <c r="E29" s="429"/>
      <c r="F29" s="429"/>
      <c r="G29" s="1111" t="s">
        <v>733</v>
      </c>
      <c r="H29" s="1111"/>
    </row>
  </sheetData>
  <sheetProtection/>
  <mergeCells count="18">
    <mergeCell ref="A19:F19"/>
    <mergeCell ref="A21:F21"/>
    <mergeCell ref="A22:F22"/>
    <mergeCell ref="A23:F23"/>
    <mergeCell ref="D24:F24"/>
    <mergeCell ref="G29:H29"/>
    <mergeCell ref="A9:F9"/>
    <mergeCell ref="A10:F10"/>
    <mergeCell ref="A14:F14"/>
    <mergeCell ref="A15:F15"/>
    <mergeCell ref="A17:F17"/>
    <mergeCell ref="A18:F18"/>
    <mergeCell ref="A1:H1"/>
    <mergeCell ref="A2:H2"/>
    <mergeCell ref="B3:F3"/>
    <mergeCell ref="A5:F5"/>
    <mergeCell ref="A6:F6"/>
    <mergeCell ref="A8:F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4">
      <selection activeCell="D44" sqref="D44"/>
    </sheetView>
  </sheetViews>
  <sheetFormatPr defaultColWidth="9.00390625" defaultRowHeight="12.75"/>
  <cols>
    <col min="11" max="11" width="12.375" style="0" customWidth="1"/>
  </cols>
  <sheetData>
    <row r="1" spans="1:12" ht="15.75">
      <c r="A1" s="1112" t="s">
        <v>735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388"/>
    </row>
    <row r="2" spans="1:12" ht="15.75">
      <c r="A2" s="926" t="s">
        <v>736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388"/>
    </row>
    <row r="3" spans="1:12" ht="15.75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</row>
    <row r="4" spans="1:12" ht="15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</row>
    <row r="5" spans="1:12" ht="16.5">
      <c r="A5" s="926" t="s">
        <v>704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388"/>
    </row>
    <row r="6" spans="1:12" ht="15.75">
      <c r="A6" s="926" t="s">
        <v>705</v>
      </c>
      <c r="B6" s="926"/>
      <c r="C6" s="926"/>
      <c r="D6" s="926"/>
      <c r="E6" s="926"/>
      <c r="F6" s="926"/>
      <c r="G6" s="926"/>
      <c r="H6" s="926"/>
      <c r="I6" s="926"/>
      <c r="J6" s="926"/>
      <c r="K6" s="926"/>
      <c r="L6" s="388"/>
    </row>
    <row r="7" spans="1:12" ht="15.75">
      <c r="A7" s="964"/>
      <c r="B7" s="964"/>
      <c r="C7" s="964"/>
      <c r="D7" s="964"/>
      <c r="E7" s="964"/>
      <c r="F7" s="964"/>
      <c r="G7" s="964"/>
      <c r="H7" s="964"/>
      <c r="I7" s="964"/>
      <c r="J7" s="964"/>
      <c r="K7" s="964"/>
      <c r="L7" s="388"/>
    </row>
    <row r="8" spans="1:12" ht="15.75">
      <c r="A8" s="388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</row>
    <row r="9" spans="1:12" ht="15.75">
      <c r="A9" s="392" t="s">
        <v>706</v>
      </c>
      <c r="B9" s="1085" t="s">
        <v>2</v>
      </c>
      <c r="C9" s="1086"/>
      <c r="D9" s="1086"/>
      <c r="E9" s="1086"/>
      <c r="F9" s="1086"/>
      <c r="G9" s="1086"/>
      <c r="H9" s="1086"/>
      <c r="I9" s="1086"/>
      <c r="J9" s="1087"/>
      <c r="K9" s="391" t="s">
        <v>295</v>
      </c>
      <c r="L9" s="388"/>
    </row>
    <row r="10" spans="1:12" ht="15.75">
      <c r="A10" s="430">
        <v>1</v>
      </c>
      <c r="B10" s="1115" t="s">
        <v>737</v>
      </c>
      <c r="C10" s="1115"/>
      <c r="D10" s="1115"/>
      <c r="E10" s="1115"/>
      <c r="F10" s="1115"/>
      <c r="G10" s="1115"/>
      <c r="H10" s="1115"/>
      <c r="I10" s="1115"/>
      <c r="J10" s="1116"/>
      <c r="K10" s="431"/>
      <c r="L10" s="388"/>
    </row>
    <row r="11" spans="1:12" ht="15.75">
      <c r="A11" s="430"/>
      <c r="B11" s="1115" t="s">
        <v>738</v>
      </c>
      <c r="C11" s="1115"/>
      <c r="D11" s="1115"/>
      <c r="E11" s="1115"/>
      <c r="F11" s="1115"/>
      <c r="G11" s="1115"/>
      <c r="H11" s="1115"/>
      <c r="I11" s="1115"/>
      <c r="J11" s="1115"/>
      <c r="K11" s="431"/>
      <c r="L11" s="388"/>
    </row>
    <row r="12" spans="1:12" ht="15.75">
      <c r="A12" s="432"/>
      <c r="B12" s="397">
        <v>50</v>
      </c>
      <c r="C12" s="397" t="s">
        <v>709</v>
      </c>
      <c r="D12" s="397" t="s">
        <v>710</v>
      </c>
      <c r="E12" s="397">
        <v>22</v>
      </c>
      <c r="F12" s="397" t="s">
        <v>739</v>
      </c>
      <c r="G12" s="397" t="s">
        <v>710</v>
      </c>
      <c r="H12" s="397">
        <v>12</v>
      </c>
      <c r="I12" s="397" t="s">
        <v>740</v>
      </c>
      <c r="J12" s="397"/>
      <c r="K12" s="433">
        <f>B12*E12*H12</f>
        <v>13200</v>
      </c>
      <c r="L12" s="388"/>
    </row>
    <row r="13" spans="1:12" ht="15.75">
      <c r="A13" s="430"/>
      <c r="B13" s="1115" t="s">
        <v>741</v>
      </c>
      <c r="C13" s="1115"/>
      <c r="D13" s="1115"/>
      <c r="E13" s="1115"/>
      <c r="F13" s="1115"/>
      <c r="G13" s="1115"/>
      <c r="H13" s="1115"/>
      <c r="I13" s="1115"/>
      <c r="J13" s="1115"/>
      <c r="K13" s="431"/>
      <c r="L13" s="388"/>
    </row>
    <row r="14" spans="1:12" ht="15.75">
      <c r="A14" s="432"/>
      <c r="B14" s="397">
        <v>100</v>
      </c>
      <c r="C14" s="397" t="s">
        <v>709</v>
      </c>
      <c r="D14" s="397" t="s">
        <v>710</v>
      </c>
      <c r="E14" s="397">
        <v>12</v>
      </c>
      <c r="F14" s="397" t="s">
        <v>739</v>
      </c>
      <c r="G14" s="397" t="s">
        <v>710</v>
      </c>
      <c r="H14" s="397">
        <v>12</v>
      </c>
      <c r="I14" s="397" t="s">
        <v>740</v>
      </c>
      <c r="J14" s="397"/>
      <c r="K14" s="433">
        <f>B14*E14*H14</f>
        <v>14400</v>
      </c>
      <c r="L14" s="388"/>
    </row>
    <row r="15" spans="1:12" ht="15.75">
      <c r="A15" s="394"/>
      <c r="B15" s="1117" t="s">
        <v>568</v>
      </c>
      <c r="C15" s="1117"/>
      <c r="D15" s="1117"/>
      <c r="E15" s="1117"/>
      <c r="F15" s="1117"/>
      <c r="G15" s="1117"/>
      <c r="H15" s="1117"/>
      <c r="I15" s="1117"/>
      <c r="J15" s="1118"/>
      <c r="K15" s="434">
        <f>K12+K14</f>
        <v>27600</v>
      </c>
      <c r="L15" s="388"/>
    </row>
    <row r="16" spans="1:12" ht="15.75">
      <c r="A16" s="388"/>
      <c r="B16" s="388"/>
      <c r="C16" s="410"/>
      <c r="D16" s="388"/>
      <c r="E16" s="388"/>
      <c r="F16" s="388"/>
      <c r="G16" s="388"/>
      <c r="H16" s="388"/>
      <c r="I16" s="388"/>
      <c r="J16" s="388"/>
      <c r="K16" s="388"/>
      <c r="L16" s="388"/>
    </row>
    <row r="17" spans="1:12" ht="15.75">
      <c r="A17" s="388"/>
      <c r="B17" s="388"/>
      <c r="C17" s="410"/>
      <c r="D17" s="388"/>
      <c r="E17" s="388"/>
      <c r="F17" s="388"/>
      <c r="G17" s="388"/>
      <c r="H17" s="388"/>
      <c r="I17" s="388"/>
      <c r="J17" s="411"/>
      <c r="K17" s="388"/>
      <c r="L17" s="388"/>
    </row>
    <row r="18" spans="1:12" ht="15.75">
      <c r="A18" s="388"/>
      <c r="B18" s="388"/>
      <c r="C18" s="410"/>
      <c r="D18" s="388"/>
      <c r="E18" s="388"/>
      <c r="F18" s="388"/>
      <c r="G18" s="388"/>
      <c r="H18" s="388"/>
      <c r="I18" s="388"/>
      <c r="J18" s="411"/>
      <c r="K18" s="388"/>
      <c r="L18" s="388"/>
    </row>
    <row r="19" spans="1:12" ht="15.75">
      <c r="A19" s="388"/>
      <c r="B19" s="388"/>
      <c r="C19" s="410"/>
      <c r="D19" s="388"/>
      <c r="E19" s="388"/>
      <c r="F19" s="388"/>
      <c r="G19" s="388"/>
      <c r="H19" s="388"/>
      <c r="I19" s="388"/>
      <c r="J19" s="388"/>
      <c r="K19" s="388"/>
      <c r="L19" s="388"/>
    </row>
    <row r="20" spans="1:12" ht="15.75">
      <c r="A20" s="428"/>
      <c r="B20" s="429"/>
      <c r="C20" s="429"/>
      <c r="D20" s="429"/>
      <c r="E20" s="429"/>
      <c r="F20" s="429"/>
      <c r="G20" s="1111"/>
      <c r="H20" s="1111"/>
      <c r="I20" s="1111"/>
      <c r="J20" s="1111"/>
      <c r="K20" s="1119"/>
      <c r="L20" s="1119"/>
    </row>
    <row r="21" spans="1:12" ht="15.75">
      <c r="A21" s="336"/>
      <c r="B21" s="435"/>
      <c r="C21" s="435"/>
      <c r="D21" s="435"/>
      <c r="E21" s="435"/>
      <c r="F21" s="435"/>
      <c r="G21" s="1113"/>
      <c r="H21" s="1113"/>
      <c r="I21" s="1113"/>
      <c r="J21" s="1113"/>
      <c r="K21" s="1114"/>
      <c r="L21" s="1114"/>
    </row>
  </sheetData>
  <sheetProtection/>
  <mergeCells count="14">
    <mergeCell ref="G21:J21"/>
    <mergeCell ref="K21:L21"/>
    <mergeCell ref="B10:J10"/>
    <mergeCell ref="B11:J11"/>
    <mergeCell ref="B13:J13"/>
    <mergeCell ref="B15:J15"/>
    <mergeCell ref="G20:J20"/>
    <mergeCell ref="K20:L20"/>
    <mergeCell ref="A1:K1"/>
    <mergeCell ref="A2:K2"/>
    <mergeCell ref="A5:K5"/>
    <mergeCell ref="A6:K6"/>
    <mergeCell ref="A7:K7"/>
    <mergeCell ref="B9:J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I11" sqref="I11"/>
    </sheetView>
  </sheetViews>
  <sheetFormatPr defaultColWidth="9.00390625" defaultRowHeight="12.75"/>
  <cols>
    <col min="2" max="2" width="21.00390625" style="0" customWidth="1"/>
    <col min="3" max="3" width="17.375" style="0" customWidth="1"/>
    <col min="4" max="4" width="17.875" style="0" customWidth="1"/>
    <col min="5" max="5" width="14.75390625" style="0" customWidth="1"/>
    <col min="6" max="6" width="16.75390625" style="0" customWidth="1"/>
    <col min="7" max="7" width="13.875" style="0" customWidth="1"/>
    <col min="8" max="8" width="13.00390625" style="0" customWidth="1"/>
    <col min="9" max="9" width="15.25390625" style="0" customWidth="1"/>
  </cols>
  <sheetData>
    <row r="4" spans="1:9" ht="15.75">
      <c r="A4" s="1124" t="s">
        <v>861</v>
      </c>
      <c r="B4" s="1125"/>
      <c r="C4" s="1125"/>
      <c r="D4" s="1125"/>
      <c r="E4" s="1125"/>
      <c r="F4" s="1125"/>
      <c r="G4" s="1125"/>
      <c r="H4" s="1125"/>
      <c r="I4" s="1125"/>
    </row>
    <row r="5" spans="1:9" ht="15.75">
      <c r="A5" s="1124" t="s">
        <v>862</v>
      </c>
      <c r="B5" s="1125"/>
      <c r="C5" s="1125"/>
      <c r="D5" s="1125"/>
      <c r="E5" s="1125"/>
      <c r="F5" s="1125"/>
      <c r="G5" s="1125"/>
      <c r="H5" s="1125"/>
      <c r="I5" s="1125"/>
    </row>
    <row r="6" spans="1:9" ht="15.75">
      <c r="A6" s="1120" t="s">
        <v>305</v>
      </c>
      <c r="B6" s="1120" t="s">
        <v>863</v>
      </c>
      <c r="C6" s="1120" t="s">
        <v>864</v>
      </c>
      <c r="D6" s="1120" t="s">
        <v>865</v>
      </c>
      <c r="E6" s="1120" t="s">
        <v>866</v>
      </c>
      <c r="F6" s="1121"/>
      <c r="G6" s="1121"/>
      <c r="H6" s="1121"/>
      <c r="I6" s="1122" t="s">
        <v>871</v>
      </c>
    </row>
    <row r="7" spans="1:9" ht="47.25">
      <c r="A7" s="1121"/>
      <c r="B7" s="1121"/>
      <c r="C7" s="1121"/>
      <c r="D7" s="1121"/>
      <c r="E7" s="391" t="s">
        <v>867</v>
      </c>
      <c r="F7" s="391" t="s">
        <v>868</v>
      </c>
      <c r="G7" s="391" t="s">
        <v>869</v>
      </c>
      <c r="H7" s="391" t="s">
        <v>870</v>
      </c>
      <c r="I7" s="1123"/>
    </row>
    <row r="8" spans="1:9" ht="47.25">
      <c r="A8" s="340">
        <v>1</v>
      </c>
      <c r="B8" s="391" t="s">
        <v>872</v>
      </c>
      <c r="C8" s="340" t="s">
        <v>873</v>
      </c>
      <c r="D8" s="501">
        <v>2100</v>
      </c>
      <c r="E8" s="501">
        <v>0.9</v>
      </c>
      <c r="F8" s="501">
        <v>0.9</v>
      </c>
      <c r="G8" s="501">
        <v>1.8</v>
      </c>
      <c r="H8" s="501">
        <v>1</v>
      </c>
      <c r="I8" s="501">
        <f>D8*E8*F8*G8*H8*H8</f>
        <v>3061.8</v>
      </c>
    </row>
    <row r="9" spans="1:9" ht="15.75">
      <c r="A9" s="340">
        <v>2</v>
      </c>
      <c r="B9" s="340" t="s">
        <v>874</v>
      </c>
      <c r="C9" s="340" t="s">
        <v>875</v>
      </c>
      <c r="D9" s="501">
        <v>2926</v>
      </c>
      <c r="E9" s="501">
        <v>0.9</v>
      </c>
      <c r="F9" s="501">
        <v>0.6</v>
      </c>
      <c r="G9" s="501">
        <v>1.8</v>
      </c>
      <c r="H9" s="501">
        <v>1.1</v>
      </c>
      <c r="I9" s="501">
        <f>D9*E9*F9*G9*H9</f>
        <v>3128.4792</v>
      </c>
    </row>
    <row r="10" spans="1:9" ht="15.75">
      <c r="A10" s="336"/>
      <c r="B10" s="336"/>
      <c r="C10" s="336"/>
      <c r="D10" s="336"/>
      <c r="E10" s="336"/>
      <c r="F10" s="336"/>
      <c r="G10" s="336"/>
      <c r="H10" s="336" t="s">
        <v>695</v>
      </c>
      <c r="I10" s="501">
        <f>I8+I9</f>
        <v>6190.279200000001</v>
      </c>
    </row>
    <row r="11" spans="1:8" ht="15.75">
      <c r="A11" s="336"/>
      <c r="B11" s="336"/>
      <c r="C11" s="336"/>
      <c r="D11" s="336"/>
      <c r="E11" s="336"/>
      <c r="F11" s="336"/>
      <c r="G11" s="336"/>
      <c r="H11" s="336"/>
    </row>
    <row r="12" spans="1:8" ht="15.75">
      <c r="A12" s="336"/>
      <c r="B12" s="336"/>
      <c r="C12" s="336"/>
      <c r="D12" s="336"/>
      <c r="E12" s="336"/>
      <c r="F12" s="336"/>
      <c r="G12" s="336"/>
      <c r="H12" s="336"/>
    </row>
    <row r="13" spans="1:8" ht="15.75">
      <c r="A13" s="336"/>
      <c r="B13" s="336"/>
      <c r="C13" s="336"/>
      <c r="D13" s="336"/>
      <c r="E13" s="336"/>
      <c r="F13" s="336"/>
      <c r="G13" s="336"/>
      <c r="H13" s="336"/>
    </row>
    <row r="14" spans="1:8" ht="15.75">
      <c r="A14" s="336"/>
      <c r="B14" s="336"/>
      <c r="C14" s="336"/>
      <c r="D14" s="336"/>
      <c r="E14" s="336"/>
      <c r="F14" s="336"/>
      <c r="G14" s="336"/>
      <c r="H14" s="336"/>
    </row>
    <row r="15" spans="1:8" ht="15.75">
      <c r="A15" s="336"/>
      <c r="B15" s="336"/>
      <c r="C15" s="336"/>
      <c r="D15" s="336"/>
      <c r="E15" s="336"/>
      <c r="F15" s="336"/>
      <c r="G15" s="336"/>
      <c r="H15" s="336"/>
    </row>
    <row r="16" spans="1:8" ht="15.75">
      <c r="A16" s="336"/>
      <c r="B16" s="336"/>
      <c r="C16" s="336"/>
      <c r="D16" s="336"/>
      <c r="E16" s="336"/>
      <c r="F16" s="336"/>
      <c r="G16" s="336"/>
      <c r="H16" s="336"/>
    </row>
    <row r="17" spans="1:8" ht="15.75">
      <c r="A17" s="336"/>
      <c r="B17" s="336"/>
      <c r="C17" s="336"/>
      <c r="D17" s="336"/>
      <c r="E17" s="336"/>
      <c r="F17" s="336"/>
      <c r="G17" s="336"/>
      <c r="H17" s="336"/>
    </row>
    <row r="18" spans="1:8" ht="15.75">
      <c r="A18" s="336"/>
      <c r="B18" s="336"/>
      <c r="C18" s="336"/>
      <c r="D18" s="336"/>
      <c r="E18" s="336"/>
      <c r="F18" s="336"/>
      <c r="G18" s="336"/>
      <c r="H18" s="336"/>
    </row>
  </sheetData>
  <sheetProtection/>
  <mergeCells count="8">
    <mergeCell ref="E6:H6"/>
    <mergeCell ref="I6:I7"/>
    <mergeCell ref="A4:I4"/>
    <mergeCell ref="A5:I5"/>
    <mergeCell ref="A6:A7"/>
    <mergeCell ref="B6:B7"/>
    <mergeCell ref="C6:C7"/>
    <mergeCell ref="D6:D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H11" sqref="H11"/>
    </sheetView>
  </sheetViews>
  <sheetFormatPr defaultColWidth="9.00390625" defaultRowHeight="12.75"/>
  <cols>
    <col min="2" max="2" width="31.625" style="0" customWidth="1"/>
  </cols>
  <sheetData>
    <row r="1" spans="1:14" ht="15.75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ht="15.7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ht="15.75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15.75">
      <c r="A4" s="1124" t="s">
        <v>878</v>
      </c>
      <c r="B4" s="1125"/>
      <c r="C4" s="1125"/>
      <c r="D4" s="1125"/>
      <c r="E4" s="1125"/>
      <c r="F4" s="1125"/>
      <c r="G4" s="336"/>
      <c r="H4" s="336"/>
      <c r="I4" s="336"/>
      <c r="J4" s="336"/>
      <c r="K4" s="336"/>
      <c r="L4" s="336"/>
      <c r="M4" s="336"/>
      <c r="N4" s="336"/>
    </row>
    <row r="5" spans="1:14" ht="15.75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1:14" ht="15.75">
      <c r="A6" s="391" t="s">
        <v>305</v>
      </c>
      <c r="B6" s="391" t="s">
        <v>2</v>
      </c>
      <c r="C6" s="391" t="s">
        <v>879</v>
      </c>
      <c r="D6" s="391" t="s">
        <v>880</v>
      </c>
      <c r="E6" s="391" t="s">
        <v>881</v>
      </c>
      <c r="F6" s="391" t="s">
        <v>747</v>
      </c>
      <c r="G6" s="336"/>
      <c r="H6" s="336"/>
      <c r="I6" s="336"/>
      <c r="J6" s="336"/>
      <c r="K6" s="336"/>
      <c r="L6" s="336"/>
      <c r="M6" s="336"/>
      <c r="N6" s="336"/>
    </row>
    <row r="7" spans="1:14" ht="63">
      <c r="A7" s="391">
        <v>1</v>
      </c>
      <c r="B7" s="391" t="s">
        <v>883</v>
      </c>
      <c r="C7" s="391" t="s">
        <v>884</v>
      </c>
      <c r="D7" s="391">
        <v>80</v>
      </c>
      <c r="E7" s="504">
        <v>15.9</v>
      </c>
      <c r="F7" s="504">
        <f>D7*E7</f>
        <v>1272</v>
      </c>
      <c r="G7" s="336"/>
      <c r="H7" s="336"/>
      <c r="I7" s="336"/>
      <c r="J7" s="336"/>
      <c r="K7" s="336"/>
      <c r="L7" s="336"/>
      <c r="M7" s="336"/>
      <c r="N7" s="336"/>
    </row>
    <row r="8" spans="1:14" ht="15.75">
      <c r="A8" s="391"/>
      <c r="B8" s="391" t="s">
        <v>882</v>
      </c>
      <c r="C8" s="391"/>
      <c r="D8" s="391"/>
      <c r="E8" s="504"/>
      <c r="F8" s="504">
        <f>F7</f>
        <v>1272</v>
      </c>
      <c r="G8" s="336"/>
      <c r="H8" s="336"/>
      <c r="I8" s="336"/>
      <c r="J8" s="336"/>
      <c r="K8" s="336"/>
      <c r="L8" s="336"/>
      <c r="M8" s="336"/>
      <c r="N8" s="336"/>
    </row>
    <row r="9" spans="1:14" ht="15.75">
      <c r="A9" s="500"/>
      <c r="B9" s="500"/>
      <c r="C9" s="500"/>
      <c r="D9" s="500"/>
      <c r="E9" s="500"/>
      <c r="F9" s="500"/>
      <c r="G9" s="336"/>
      <c r="H9" s="336"/>
      <c r="I9" s="336"/>
      <c r="J9" s="336"/>
      <c r="K9" s="336"/>
      <c r="L9" s="336"/>
      <c r="M9" s="336"/>
      <c r="N9" s="336"/>
    </row>
    <row r="10" spans="1:14" ht="15.75">
      <c r="A10" s="500"/>
      <c r="B10" s="500"/>
      <c r="C10" s="500"/>
      <c r="D10" s="500"/>
      <c r="E10" s="500"/>
      <c r="F10" s="500"/>
      <c r="G10" s="336"/>
      <c r="H10" s="336"/>
      <c r="I10" s="336"/>
      <c r="J10" s="336"/>
      <c r="K10" s="336"/>
      <c r="L10" s="336"/>
      <c r="M10" s="336"/>
      <c r="N10" s="336"/>
    </row>
    <row r="11" spans="1:14" ht="15.75">
      <c r="A11" s="500"/>
      <c r="B11" s="500"/>
      <c r="C11" s="500"/>
      <c r="D11" s="500"/>
      <c r="E11" s="500"/>
      <c r="F11" s="500"/>
      <c r="G11" s="336"/>
      <c r="H11" s="336"/>
      <c r="I11" s="336"/>
      <c r="J11" s="336"/>
      <c r="K11" s="336"/>
      <c r="L11" s="336"/>
      <c r="M11" s="336"/>
      <c r="N11" s="336"/>
    </row>
    <row r="12" spans="1:14" ht="15.75">
      <c r="A12" s="500"/>
      <c r="B12" s="500"/>
      <c r="C12" s="500"/>
      <c r="D12" s="500"/>
      <c r="E12" s="500"/>
      <c r="F12" s="500"/>
      <c r="G12" s="336"/>
      <c r="H12" s="336"/>
      <c r="I12" s="336"/>
      <c r="J12" s="336"/>
      <c r="K12" s="336"/>
      <c r="L12" s="336"/>
      <c r="M12" s="336"/>
      <c r="N12" s="336"/>
    </row>
    <row r="13" spans="1:14" ht="15.75">
      <c r="A13" s="500"/>
      <c r="B13" s="500"/>
      <c r="C13" s="500"/>
      <c r="D13" s="500"/>
      <c r="E13" s="500"/>
      <c r="F13" s="500"/>
      <c r="G13" s="336"/>
      <c r="H13" s="336"/>
      <c r="I13" s="336"/>
      <c r="J13" s="336"/>
      <c r="K13" s="336"/>
      <c r="L13" s="336"/>
      <c r="M13" s="336"/>
      <c r="N13" s="336"/>
    </row>
    <row r="14" spans="1:14" ht="15.75">
      <c r="A14" s="500"/>
      <c r="B14" s="500"/>
      <c r="C14" s="500"/>
      <c r="D14" s="500"/>
      <c r="E14" s="500"/>
      <c r="F14" s="500"/>
      <c r="G14" s="336"/>
      <c r="H14" s="336"/>
      <c r="I14" s="336"/>
      <c r="J14" s="336"/>
      <c r="K14" s="336"/>
      <c r="L14" s="336"/>
      <c r="M14" s="336"/>
      <c r="N14" s="336"/>
    </row>
    <row r="15" spans="1:14" ht="15.75">
      <c r="A15" s="500"/>
      <c r="B15" s="500"/>
      <c r="C15" s="500"/>
      <c r="D15" s="500"/>
      <c r="E15" s="500"/>
      <c r="F15" s="500"/>
      <c r="G15" s="336"/>
      <c r="H15" s="336"/>
      <c r="I15" s="336"/>
      <c r="J15" s="336"/>
      <c r="K15" s="336"/>
      <c r="L15" s="336"/>
      <c r="M15" s="336"/>
      <c r="N15" s="336"/>
    </row>
    <row r="16" spans="1:14" ht="15.75">
      <c r="A16" s="500"/>
      <c r="B16" s="500"/>
      <c r="C16" s="500"/>
      <c r="D16" s="500"/>
      <c r="E16" s="500"/>
      <c r="F16" s="500"/>
      <c r="G16" s="336"/>
      <c r="H16" s="336"/>
      <c r="I16" s="336"/>
      <c r="J16" s="336"/>
      <c r="K16" s="336"/>
      <c r="L16" s="336"/>
      <c r="M16" s="336"/>
      <c r="N16" s="336"/>
    </row>
    <row r="17" spans="1:14" ht="15.75">
      <c r="A17" s="500"/>
      <c r="B17" s="500"/>
      <c r="C17" s="500"/>
      <c r="D17" s="500"/>
      <c r="E17" s="500"/>
      <c r="F17" s="500"/>
      <c r="G17" s="336"/>
      <c r="H17" s="336"/>
      <c r="I17" s="336"/>
      <c r="J17" s="336"/>
      <c r="K17" s="336"/>
      <c r="L17" s="336"/>
      <c r="M17" s="336"/>
      <c r="N17" s="336"/>
    </row>
    <row r="18" spans="1:14" ht="15.75">
      <c r="A18" s="500"/>
      <c r="B18" s="500"/>
      <c r="C18" s="500"/>
      <c r="D18" s="500"/>
      <c r="E18" s="500"/>
      <c r="F18" s="500"/>
      <c r="G18" s="336"/>
      <c r="H18" s="336"/>
      <c r="I18" s="336"/>
      <c r="J18" s="336"/>
      <c r="K18" s="336"/>
      <c r="L18" s="336"/>
      <c r="M18" s="336"/>
      <c r="N18" s="336"/>
    </row>
    <row r="19" spans="1:14" ht="15.75">
      <c r="A19" s="336"/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</row>
    <row r="20" spans="1:14" ht="15.75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</row>
    <row r="21" spans="1:14" ht="15.75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</row>
    <row r="22" spans="1:14" ht="15.75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</row>
    <row r="23" spans="1:14" ht="15.75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</row>
    <row r="24" spans="1:14" ht="15.75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</row>
    <row r="25" spans="1:14" ht="15.75">
      <c r="A25" s="336"/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</row>
    <row r="26" spans="1:14" ht="15.75">
      <c r="A26" s="336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</row>
    <row r="27" spans="1:14" ht="15.75">
      <c r="A27" s="336"/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</row>
    <row r="28" spans="1:14" ht="15.75">
      <c r="A28" s="336"/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</row>
    <row r="29" spans="1:14" ht="15.75">
      <c r="A29" s="336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</row>
    <row r="30" spans="1:14" ht="15.75">
      <c r="A30" s="336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</row>
    <row r="31" spans="1:14" ht="15.75">
      <c r="A31" s="336"/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</row>
    <row r="32" spans="1:14" ht="15.75">
      <c r="A32" s="336"/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</row>
    <row r="33" spans="1:14" ht="15.75">
      <c r="A33" s="336"/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</row>
    <row r="34" spans="1:14" ht="15.75">
      <c r="A34" s="336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</row>
    <row r="35" spans="1:14" ht="15.75">
      <c r="A35" s="336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</row>
    <row r="36" spans="1:14" ht="15.75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</row>
    <row r="37" spans="1:14" ht="15.75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</row>
    <row r="38" spans="1:14" ht="15.75">
      <c r="A38" s="336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</row>
    <row r="39" spans="1:14" ht="15.75">
      <c r="A39" s="336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</row>
    <row r="40" spans="1:14" ht="15.75">
      <c r="A40" s="336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</row>
    <row r="41" spans="1:14" ht="15.75">
      <c r="A41" s="336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</row>
    <row r="42" spans="1:14" ht="15.75">
      <c r="A42" s="336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</row>
    <row r="43" spans="1:14" ht="15.75">
      <c r="A43" s="336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</row>
    <row r="44" spans="1:14" ht="15.75">
      <c r="A44" s="336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</row>
    <row r="45" spans="1:14" ht="15.75">
      <c r="A45" s="336"/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</row>
    <row r="46" spans="1:14" ht="15.75">
      <c r="A46" s="336"/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</row>
    <row r="47" spans="1:14" ht="15.75">
      <c r="A47" s="336"/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</row>
    <row r="48" spans="1:14" ht="15.75">
      <c r="A48" s="336"/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</row>
    <row r="49" spans="1:14" ht="15.75">
      <c r="A49" s="336"/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</row>
    <row r="50" spans="1:14" ht="15.75">
      <c r="A50" s="336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</row>
    <row r="51" spans="1:14" ht="15.75">
      <c r="A51" s="336"/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2"/>
  <sheetViews>
    <sheetView zoomScalePageLayoutView="0" workbookViewId="0" topLeftCell="C1">
      <selection activeCell="I2" sqref="I2"/>
    </sheetView>
  </sheetViews>
  <sheetFormatPr defaultColWidth="9.00390625" defaultRowHeight="12.75"/>
  <cols>
    <col min="1" max="1" width="7.125" style="492" hidden="1" customWidth="1"/>
    <col min="2" max="2" width="9.375" style="492" hidden="1" customWidth="1"/>
    <col min="3" max="3" width="11.00390625" style="492" customWidth="1"/>
    <col min="4" max="4" width="10.25390625" style="492" customWidth="1"/>
    <col min="5" max="5" width="8.625" style="492" customWidth="1"/>
    <col min="6" max="6" width="12.125" style="492" customWidth="1"/>
    <col min="7" max="11" width="13.25390625" style="492" customWidth="1"/>
    <col min="12" max="13" width="12.75390625" style="492" customWidth="1"/>
    <col min="14" max="14" width="11.875" style="492" customWidth="1"/>
    <col min="15" max="15" width="12.875" style="492" customWidth="1"/>
    <col min="16" max="16" width="13.625" style="492" customWidth="1"/>
    <col min="17" max="17" width="13.25390625" style="492" customWidth="1"/>
    <col min="18" max="18" width="12.375" style="492" customWidth="1"/>
    <col min="19" max="16384" width="9.125" style="335" customWidth="1"/>
  </cols>
  <sheetData>
    <row r="1" spans="1:18" s="336" customFormat="1" ht="15.75">
      <c r="A1" s="786"/>
      <c r="B1" s="786"/>
      <c r="C1" s="786"/>
      <c r="D1" s="786"/>
      <c r="E1" s="786"/>
      <c r="F1" s="786"/>
      <c r="G1" s="786"/>
      <c r="H1" s="707"/>
      <c r="I1" s="337" t="s">
        <v>1185</v>
      </c>
      <c r="J1" s="337"/>
      <c r="K1" s="337"/>
      <c r="L1" s="337"/>
      <c r="M1" s="337"/>
      <c r="N1" s="337"/>
      <c r="P1" s="337"/>
      <c r="Q1" s="337"/>
      <c r="R1" s="337"/>
    </row>
    <row r="3" spans="1:18" s="782" customFormat="1" ht="76.5" customHeight="1">
      <c r="A3" s="784" t="s">
        <v>1184</v>
      </c>
      <c r="B3" s="784" t="s">
        <v>1183</v>
      </c>
      <c r="C3" s="784" t="s">
        <v>1182</v>
      </c>
      <c r="D3" s="784" t="s">
        <v>1181</v>
      </c>
      <c r="E3" s="785" t="s">
        <v>1180</v>
      </c>
      <c r="F3" s="785" t="s">
        <v>1179</v>
      </c>
      <c r="G3" s="785" t="s">
        <v>1178</v>
      </c>
      <c r="H3" s="785" t="s">
        <v>1177</v>
      </c>
      <c r="I3" s="785" t="s">
        <v>1176</v>
      </c>
      <c r="J3" s="785" t="s">
        <v>1175</v>
      </c>
      <c r="K3" s="785" t="s">
        <v>1174</v>
      </c>
      <c r="L3" s="785" t="s">
        <v>1173</v>
      </c>
      <c r="M3" s="785" t="s">
        <v>1172</v>
      </c>
      <c r="N3" s="784" t="s">
        <v>1171</v>
      </c>
      <c r="O3" s="784" t="s">
        <v>1170</v>
      </c>
      <c r="P3" s="784" t="s">
        <v>1169</v>
      </c>
      <c r="Q3" s="475" t="s">
        <v>1168</v>
      </c>
      <c r="R3" s="783"/>
    </row>
    <row r="4" spans="1:18" s="336" customFormat="1" ht="24" customHeight="1">
      <c r="A4" s="339"/>
      <c r="B4" s="339"/>
      <c r="C4" s="340">
        <v>4168.88</v>
      </c>
      <c r="D4" s="501" t="s">
        <v>1167</v>
      </c>
      <c r="E4" s="340">
        <v>4</v>
      </c>
      <c r="F4" s="780">
        <v>190</v>
      </c>
      <c r="G4" s="780">
        <v>255</v>
      </c>
      <c r="H4" s="781">
        <v>74.5</v>
      </c>
      <c r="I4" s="780">
        <v>16.5</v>
      </c>
      <c r="J4" s="764">
        <f>ROUND(H4*12*1.18,2)</f>
        <v>1054.92</v>
      </c>
      <c r="K4" s="764">
        <f>ROUND(I4*12*1.18,2)</f>
        <v>233.64</v>
      </c>
      <c r="L4" s="779">
        <f>ROUND((E4*(F4+G4))*12,2)*1.18</f>
        <v>25204.8</v>
      </c>
      <c r="M4" s="778">
        <v>2</v>
      </c>
      <c r="N4" s="777">
        <f>130*2*12</f>
        <v>3120</v>
      </c>
      <c r="O4" s="764">
        <v>3.6</v>
      </c>
      <c r="P4" s="764">
        <f>ROUND(N4*O4*1.18,2)</f>
        <v>13253.76</v>
      </c>
      <c r="Q4" s="764">
        <f>C4+L4+P4+J4+K4</f>
        <v>43916</v>
      </c>
      <c r="R4" s="451"/>
    </row>
    <row r="5" spans="1:256" ht="15.75" customHeight="1" hidden="1">
      <c r="A5" s="339"/>
      <c r="B5" s="339"/>
      <c r="C5" s="340"/>
      <c r="D5" s="501"/>
      <c r="E5" s="776"/>
      <c r="F5" s="340"/>
      <c r="G5" s="501"/>
      <c r="H5" s="501"/>
      <c r="I5" s="770"/>
      <c r="J5" s="767"/>
      <c r="K5" s="767"/>
      <c r="L5" s="775"/>
      <c r="M5" s="775"/>
      <c r="N5" s="764"/>
      <c r="O5" s="764">
        <v>2</v>
      </c>
      <c r="P5" s="764">
        <f>N5*O5*1.18</f>
        <v>0</v>
      </c>
      <c r="Q5" s="764">
        <v>2</v>
      </c>
      <c r="R5" s="337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  <c r="DN5" s="336"/>
      <c r="DO5" s="336"/>
      <c r="DP5" s="336"/>
      <c r="DQ5" s="336"/>
      <c r="DR5" s="336"/>
      <c r="DS5" s="336"/>
      <c r="DT5" s="336"/>
      <c r="DU5" s="336"/>
      <c r="DV5" s="336"/>
      <c r="DW5" s="336"/>
      <c r="DX5" s="336"/>
      <c r="DY5" s="336"/>
      <c r="DZ5" s="336"/>
      <c r="EA5" s="336"/>
      <c r="EB5" s="336"/>
      <c r="EC5" s="336"/>
      <c r="ED5" s="336"/>
      <c r="EE5" s="336"/>
      <c r="EF5" s="336"/>
      <c r="EG5" s="336"/>
      <c r="EH5" s="336"/>
      <c r="EI5" s="336"/>
      <c r="EJ5" s="336"/>
      <c r="EK5" s="336"/>
      <c r="EL5" s="336"/>
      <c r="EM5" s="336"/>
      <c r="EN5" s="336"/>
      <c r="EO5" s="336"/>
      <c r="EP5" s="336"/>
      <c r="EQ5" s="336"/>
      <c r="ER5" s="336"/>
      <c r="ES5" s="336"/>
      <c r="ET5" s="336"/>
      <c r="EU5" s="336"/>
      <c r="EV5" s="336"/>
      <c r="EW5" s="336"/>
      <c r="EX5" s="336"/>
      <c r="EY5" s="336"/>
      <c r="EZ5" s="336"/>
      <c r="FA5" s="336"/>
      <c r="FB5" s="336"/>
      <c r="FC5" s="336"/>
      <c r="FD5" s="336"/>
      <c r="FE5" s="336"/>
      <c r="FF5" s="336"/>
      <c r="FG5" s="336"/>
      <c r="FH5" s="336"/>
      <c r="FI5" s="336"/>
      <c r="FJ5" s="336"/>
      <c r="FK5" s="336"/>
      <c r="FL5" s="336"/>
      <c r="FM5" s="336"/>
      <c r="FN5" s="336"/>
      <c r="FO5" s="336"/>
      <c r="FP5" s="336"/>
      <c r="FQ5" s="336"/>
      <c r="FR5" s="336"/>
      <c r="FS5" s="336"/>
      <c r="FT5" s="336"/>
      <c r="FU5" s="336"/>
      <c r="FV5" s="336"/>
      <c r="FW5" s="336"/>
      <c r="FX5" s="336"/>
      <c r="FY5" s="336"/>
      <c r="FZ5" s="336"/>
      <c r="GA5" s="336"/>
      <c r="GB5" s="336"/>
      <c r="GC5" s="336"/>
      <c r="GD5" s="336"/>
      <c r="GE5" s="336"/>
      <c r="GF5" s="336"/>
      <c r="GG5" s="336"/>
      <c r="GH5" s="336"/>
      <c r="GI5" s="336"/>
      <c r="GJ5" s="336"/>
      <c r="GK5" s="336"/>
      <c r="GL5" s="336"/>
      <c r="GM5" s="336"/>
      <c r="GN5" s="336"/>
      <c r="GO5" s="336"/>
      <c r="GP5" s="336"/>
      <c r="GQ5" s="336"/>
      <c r="GR5" s="336"/>
      <c r="GS5" s="336"/>
      <c r="GT5" s="336"/>
      <c r="GU5" s="336"/>
      <c r="GV5" s="336"/>
      <c r="GW5" s="336"/>
      <c r="GX5" s="336"/>
      <c r="GY5" s="336"/>
      <c r="GZ5" s="336"/>
      <c r="HA5" s="336"/>
      <c r="HB5" s="336"/>
      <c r="HC5" s="336"/>
      <c r="HD5" s="336"/>
      <c r="HE5" s="336"/>
      <c r="HF5" s="336"/>
      <c r="HG5" s="336"/>
      <c r="HH5" s="336"/>
      <c r="HI5" s="336"/>
      <c r="HJ5" s="336"/>
      <c r="HK5" s="336"/>
      <c r="HL5" s="336"/>
      <c r="HM5" s="336"/>
      <c r="HN5" s="336"/>
      <c r="HO5" s="336"/>
      <c r="HP5" s="336"/>
      <c r="HQ5" s="336"/>
      <c r="HR5" s="336"/>
      <c r="HS5" s="336"/>
      <c r="HT5" s="336"/>
      <c r="HU5" s="336"/>
      <c r="HV5" s="336"/>
      <c r="HW5" s="336"/>
      <c r="HX5" s="336"/>
      <c r="HY5" s="336"/>
      <c r="HZ5" s="336"/>
      <c r="IA5" s="336"/>
      <c r="IB5" s="336"/>
      <c r="IC5" s="336"/>
      <c r="ID5" s="336"/>
      <c r="IE5" s="336"/>
      <c r="IF5" s="336"/>
      <c r="IG5" s="336"/>
      <c r="IH5" s="336"/>
      <c r="II5" s="336"/>
      <c r="IJ5" s="336"/>
      <c r="IK5" s="336"/>
      <c r="IL5" s="336"/>
      <c r="IM5" s="336"/>
      <c r="IN5" s="336"/>
      <c r="IO5" s="336"/>
      <c r="IP5" s="336"/>
      <c r="IQ5" s="336"/>
      <c r="IR5" s="336"/>
      <c r="IS5" s="336"/>
      <c r="IT5" s="336"/>
      <c r="IU5" s="336"/>
      <c r="IV5" s="336"/>
    </row>
    <row r="6" spans="1:256" ht="15.75" customHeight="1" hidden="1">
      <c r="A6" s="339"/>
      <c r="B6" s="339"/>
      <c r="C6" s="774"/>
      <c r="D6" s="773"/>
      <c r="E6" s="772"/>
      <c r="F6" s="771"/>
      <c r="G6" s="770"/>
      <c r="H6" s="769"/>
      <c r="I6" s="769"/>
      <c r="J6" s="769"/>
      <c r="K6" s="769"/>
      <c r="L6" s="768"/>
      <c r="M6" s="768"/>
      <c r="N6" s="767"/>
      <c r="O6" s="766"/>
      <c r="P6" s="765"/>
      <c r="Q6" s="764">
        <v>2</v>
      </c>
      <c r="R6" s="337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  <c r="DL6" s="336"/>
      <c r="DM6" s="336"/>
      <c r="DN6" s="336"/>
      <c r="DO6" s="336"/>
      <c r="DP6" s="336"/>
      <c r="DQ6" s="336"/>
      <c r="DR6" s="336"/>
      <c r="DS6" s="336"/>
      <c r="DT6" s="336"/>
      <c r="DU6" s="336"/>
      <c r="DV6" s="336"/>
      <c r="DW6" s="336"/>
      <c r="DX6" s="336"/>
      <c r="DY6" s="336"/>
      <c r="DZ6" s="336"/>
      <c r="EA6" s="336"/>
      <c r="EB6" s="336"/>
      <c r="EC6" s="336"/>
      <c r="ED6" s="336"/>
      <c r="EE6" s="336"/>
      <c r="EF6" s="336"/>
      <c r="EG6" s="336"/>
      <c r="EH6" s="336"/>
      <c r="EI6" s="336"/>
      <c r="EJ6" s="336"/>
      <c r="EK6" s="336"/>
      <c r="EL6" s="336"/>
      <c r="EM6" s="336"/>
      <c r="EN6" s="336"/>
      <c r="EO6" s="336"/>
      <c r="EP6" s="336"/>
      <c r="EQ6" s="336"/>
      <c r="ER6" s="336"/>
      <c r="ES6" s="336"/>
      <c r="ET6" s="336"/>
      <c r="EU6" s="336"/>
      <c r="EV6" s="336"/>
      <c r="EW6" s="336"/>
      <c r="EX6" s="336"/>
      <c r="EY6" s="336"/>
      <c r="EZ6" s="336"/>
      <c r="FA6" s="336"/>
      <c r="FB6" s="336"/>
      <c r="FC6" s="336"/>
      <c r="FD6" s="336"/>
      <c r="FE6" s="336"/>
      <c r="FF6" s="336"/>
      <c r="FG6" s="336"/>
      <c r="FH6" s="336"/>
      <c r="FI6" s="336"/>
      <c r="FJ6" s="336"/>
      <c r="FK6" s="336"/>
      <c r="FL6" s="336"/>
      <c r="FM6" s="336"/>
      <c r="FN6" s="336"/>
      <c r="FO6" s="336"/>
      <c r="FP6" s="336"/>
      <c r="FQ6" s="336"/>
      <c r="FR6" s="336"/>
      <c r="FS6" s="336"/>
      <c r="FT6" s="336"/>
      <c r="FU6" s="336"/>
      <c r="FV6" s="336"/>
      <c r="FW6" s="336"/>
      <c r="FX6" s="336"/>
      <c r="FY6" s="336"/>
      <c r="FZ6" s="336"/>
      <c r="GA6" s="336"/>
      <c r="GB6" s="336"/>
      <c r="GC6" s="336"/>
      <c r="GD6" s="336"/>
      <c r="GE6" s="336"/>
      <c r="GF6" s="336"/>
      <c r="GG6" s="336"/>
      <c r="GH6" s="336"/>
      <c r="GI6" s="336"/>
      <c r="GJ6" s="336"/>
      <c r="GK6" s="336"/>
      <c r="GL6" s="336"/>
      <c r="GM6" s="336"/>
      <c r="GN6" s="336"/>
      <c r="GO6" s="336"/>
      <c r="GP6" s="336"/>
      <c r="GQ6" s="336"/>
      <c r="GR6" s="336"/>
      <c r="GS6" s="336"/>
      <c r="GT6" s="336"/>
      <c r="GU6" s="336"/>
      <c r="GV6" s="336"/>
      <c r="GW6" s="336"/>
      <c r="GX6" s="336"/>
      <c r="GY6" s="336"/>
      <c r="GZ6" s="336"/>
      <c r="HA6" s="336"/>
      <c r="HB6" s="336"/>
      <c r="HC6" s="336"/>
      <c r="HD6" s="336"/>
      <c r="HE6" s="336"/>
      <c r="HF6" s="336"/>
      <c r="HG6" s="336"/>
      <c r="HH6" s="336"/>
      <c r="HI6" s="336"/>
      <c r="HJ6" s="336"/>
      <c r="HK6" s="336"/>
      <c r="HL6" s="336"/>
      <c r="HM6" s="336"/>
      <c r="HN6" s="336"/>
      <c r="HO6" s="336"/>
      <c r="HP6" s="336"/>
      <c r="HQ6" s="336"/>
      <c r="HR6" s="336"/>
      <c r="HS6" s="336"/>
      <c r="HT6" s="336"/>
      <c r="HU6" s="336"/>
      <c r="HV6" s="336"/>
      <c r="HW6" s="336"/>
      <c r="HX6" s="336"/>
      <c r="HY6" s="336"/>
      <c r="HZ6" s="336"/>
      <c r="IA6" s="336"/>
      <c r="IB6" s="336"/>
      <c r="IC6" s="336"/>
      <c r="ID6" s="336"/>
      <c r="IE6" s="336"/>
      <c r="IF6" s="336"/>
      <c r="IG6" s="336"/>
      <c r="IH6" s="336"/>
      <c r="II6" s="336"/>
      <c r="IJ6" s="336"/>
      <c r="IK6" s="336"/>
      <c r="IL6" s="336"/>
      <c r="IM6" s="336"/>
      <c r="IN6" s="336"/>
      <c r="IO6" s="336"/>
      <c r="IP6" s="336"/>
      <c r="IQ6" s="336"/>
      <c r="IR6" s="336"/>
      <c r="IS6" s="336"/>
      <c r="IT6" s="336"/>
      <c r="IU6" s="336"/>
      <c r="IV6" s="336"/>
    </row>
    <row r="7" spans="3:17" ht="15.75"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860" t="s">
        <v>860</v>
      </c>
      <c r="O7" s="861"/>
      <c r="P7" s="861"/>
      <c r="Q7" s="762">
        <f>Q4</f>
        <v>43916</v>
      </c>
    </row>
    <row r="8" spans="1:256" s="449" customFormat="1" ht="24" customHeight="1">
      <c r="A8" s="492"/>
      <c r="B8" s="492"/>
      <c r="C8" s="863"/>
      <c r="D8" s="863"/>
      <c r="E8" s="863"/>
      <c r="F8" s="863"/>
      <c r="G8" s="863"/>
      <c r="H8" s="863"/>
      <c r="I8" s="863"/>
      <c r="J8" s="863"/>
      <c r="K8" s="863"/>
      <c r="L8" s="863"/>
      <c r="M8" s="863"/>
      <c r="N8" s="863"/>
      <c r="O8" s="863"/>
      <c r="P8" s="863"/>
      <c r="Q8" s="863"/>
      <c r="R8" s="761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5"/>
      <c r="FL8" s="335"/>
      <c r="FM8" s="335"/>
      <c r="FN8" s="335"/>
      <c r="FO8" s="335"/>
      <c r="FP8" s="335"/>
      <c r="FQ8" s="335"/>
      <c r="FR8" s="335"/>
      <c r="FS8" s="335"/>
      <c r="FT8" s="335"/>
      <c r="FU8" s="335"/>
      <c r="FV8" s="335"/>
      <c r="FW8" s="335"/>
      <c r="FX8" s="335"/>
      <c r="FY8" s="335"/>
      <c r="FZ8" s="335"/>
      <c r="GA8" s="335"/>
      <c r="GB8" s="335"/>
      <c r="GC8" s="335"/>
      <c r="GD8" s="335"/>
      <c r="GE8" s="335"/>
      <c r="GF8" s="335"/>
      <c r="GG8" s="335"/>
      <c r="GH8" s="335"/>
      <c r="GI8" s="335"/>
      <c r="GJ8" s="335"/>
      <c r="GK8" s="335"/>
      <c r="GL8" s="335"/>
      <c r="GM8" s="335"/>
      <c r="GN8" s="335"/>
      <c r="GO8" s="335"/>
      <c r="GP8" s="335"/>
      <c r="GQ8" s="335"/>
      <c r="GR8" s="335"/>
      <c r="GS8" s="335"/>
      <c r="GT8" s="335"/>
      <c r="GU8" s="335"/>
      <c r="GV8" s="335"/>
      <c r="GW8" s="335"/>
      <c r="GX8" s="335"/>
      <c r="GY8" s="335"/>
      <c r="GZ8" s="335"/>
      <c r="HA8" s="335"/>
      <c r="HB8" s="335"/>
      <c r="HC8" s="335"/>
      <c r="HD8" s="335"/>
      <c r="HE8" s="335"/>
      <c r="HF8" s="335"/>
      <c r="HG8" s="335"/>
      <c r="HH8" s="335"/>
      <c r="HI8" s="335"/>
      <c r="HJ8" s="335"/>
      <c r="HK8" s="335"/>
      <c r="HL8" s="335"/>
      <c r="HM8" s="335"/>
      <c r="HN8" s="335"/>
      <c r="HO8" s="335"/>
      <c r="HP8" s="335"/>
      <c r="HQ8" s="335"/>
      <c r="HR8" s="335"/>
      <c r="HS8" s="335"/>
      <c r="HT8" s="335"/>
      <c r="HU8" s="335"/>
      <c r="HV8" s="335"/>
      <c r="HW8" s="335"/>
      <c r="HX8" s="335"/>
      <c r="HY8" s="335"/>
      <c r="HZ8" s="335"/>
      <c r="IA8" s="335"/>
      <c r="IB8" s="335"/>
      <c r="IC8" s="335"/>
      <c r="ID8" s="335"/>
      <c r="IE8" s="335"/>
      <c r="IF8" s="335"/>
      <c r="IG8" s="335"/>
      <c r="IH8" s="335"/>
      <c r="II8" s="335"/>
      <c r="IJ8" s="335"/>
      <c r="IK8" s="335"/>
      <c r="IL8" s="335"/>
      <c r="IM8" s="335"/>
      <c r="IN8" s="335"/>
      <c r="IO8" s="335"/>
      <c r="IP8" s="335"/>
      <c r="IQ8" s="335"/>
      <c r="IR8" s="335"/>
      <c r="IS8" s="335"/>
      <c r="IT8" s="335"/>
      <c r="IU8" s="335"/>
      <c r="IV8" s="335"/>
    </row>
    <row r="9" spans="1:256" s="449" customFormat="1" ht="15.75">
      <c r="A9" s="492"/>
      <c r="B9" s="492"/>
      <c r="C9" s="492"/>
      <c r="D9" s="336"/>
      <c r="E9" s="336"/>
      <c r="F9" s="336"/>
      <c r="G9" s="336"/>
      <c r="H9" s="457"/>
      <c r="I9" s="457"/>
      <c r="J9" s="336"/>
      <c r="K9" s="336"/>
      <c r="L9" s="336"/>
      <c r="M9" s="336"/>
      <c r="N9" s="336"/>
      <c r="O9" s="336"/>
      <c r="P9" s="336"/>
      <c r="Q9" s="760"/>
      <c r="R9" s="336"/>
      <c r="S9" s="336"/>
      <c r="T9" s="336"/>
      <c r="U9" s="336"/>
      <c r="V9" s="75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335"/>
      <c r="EG9" s="335"/>
      <c r="EH9" s="335"/>
      <c r="EI9" s="335"/>
      <c r="EJ9" s="335"/>
      <c r="EK9" s="335"/>
      <c r="EL9" s="335"/>
      <c r="EM9" s="335"/>
      <c r="EN9" s="335"/>
      <c r="EO9" s="335"/>
      <c r="EP9" s="335"/>
      <c r="EQ9" s="335"/>
      <c r="ER9" s="335"/>
      <c r="ES9" s="335"/>
      <c r="ET9" s="335"/>
      <c r="EU9" s="335"/>
      <c r="EV9" s="335"/>
      <c r="EW9" s="335"/>
      <c r="EX9" s="335"/>
      <c r="EY9" s="335"/>
      <c r="EZ9" s="335"/>
      <c r="FA9" s="335"/>
      <c r="FB9" s="335"/>
      <c r="FC9" s="335"/>
      <c r="FD9" s="335"/>
      <c r="FE9" s="335"/>
      <c r="FF9" s="335"/>
      <c r="FG9" s="335"/>
      <c r="FH9" s="335"/>
      <c r="FI9" s="335"/>
      <c r="FJ9" s="335"/>
      <c r="FK9" s="335"/>
      <c r="FL9" s="335"/>
      <c r="FM9" s="335"/>
      <c r="FN9" s="335"/>
      <c r="FO9" s="335"/>
      <c r="FP9" s="335"/>
      <c r="FQ9" s="335"/>
      <c r="FR9" s="335"/>
      <c r="FS9" s="335"/>
      <c r="FT9" s="335"/>
      <c r="FU9" s="335"/>
      <c r="FV9" s="335"/>
      <c r="FW9" s="335"/>
      <c r="FX9" s="335"/>
      <c r="FY9" s="335"/>
      <c r="FZ9" s="335"/>
      <c r="GA9" s="335"/>
      <c r="GB9" s="335"/>
      <c r="GC9" s="335"/>
      <c r="GD9" s="335"/>
      <c r="GE9" s="335"/>
      <c r="GF9" s="335"/>
      <c r="GG9" s="335"/>
      <c r="GH9" s="335"/>
      <c r="GI9" s="335"/>
      <c r="GJ9" s="335"/>
      <c r="GK9" s="335"/>
      <c r="GL9" s="335"/>
      <c r="GM9" s="335"/>
      <c r="GN9" s="335"/>
      <c r="GO9" s="335"/>
      <c r="GP9" s="335"/>
      <c r="GQ9" s="335"/>
      <c r="GR9" s="335"/>
      <c r="GS9" s="335"/>
      <c r="GT9" s="335"/>
      <c r="GU9" s="335"/>
      <c r="GV9" s="335"/>
      <c r="GW9" s="335"/>
      <c r="GX9" s="335"/>
      <c r="GY9" s="335"/>
      <c r="GZ9" s="335"/>
      <c r="HA9" s="335"/>
      <c r="HB9" s="335"/>
      <c r="HC9" s="335"/>
      <c r="HD9" s="335"/>
      <c r="HE9" s="335"/>
      <c r="HF9" s="335"/>
      <c r="HG9" s="335"/>
      <c r="HH9" s="335"/>
      <c r="HI9" s="335"/>
      <c r="HJ9" s="335"/>
      <c r="HK9" s="335"/>
      <c r="HL9" s="335"/>
      <c r="HM9" s="335"/>
      <c r="HN9" s="335"/>
      <c r="HO9" s="335"/>
      <c r="HP9" s="335"/>
      <c r="HQ9" s="335"/>
      <c r="HR9" s="335"/>
      <c r="HS9" s="335"/>
      <c r="HT9" s="335"/>
      <c r="HU9" s="335"/>
      <c r="HV9" s="335"/>
      <c r="HW9" s="335"/>
      <c r="HX9" s="335"/>
      <c r="HY9" s="335"/>
      <c r="HZ9" s="335"/>
      <c r="IA9" s="335"/>
      <c r="IB9" s="335"/>
      <c r="IC9" s="335"/>
      <c r="ID9" s="335"/>
      <c r="IE9" s="335"/>
      <c r="IF9" s="335"/>
      <c r="IG9" s="335"/>
      <c r="IH9" s="335"/>
      <c r="II9" s="335"/>
      <c r="IJ9" s="335"/>
      <c r="IK9" s="335"/>
      <c r="IL9" s="335"/>
      <c r="IM9" s="335"/>
      <c r="IN9" s="335"/>
      <c r="IO9" s="335"/>
      <c r="IP9" s="335"/>
      <c r="IQ9" s="335"/>
      <c r="IR9" s="335"/>
      <c r="IS9" s="335"/>
      <c r="IT9" s="335"/>
      <c r="IU9" s="335"/>
      <c r="IV9" s="335"/>
    </row>
    <row r="10" spans="1:256" s="449" customFormat="1" ht="15.75">
      <c r="A10" s="759" t="s">
        <v>1166</v>
      </c>
      <c r="B10" s="759"/>
      <c r="C10" s="759"/>
      <c r="D10" s="336"/>
      <c r="E10" s="336"/>
      <c r="F10" s="336"/>
      <c r="G10" s="336"/>
      <c r="H10" s="457"/>
      <c r="I10" s="457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755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DX10" s="336"/>
      <c r="DY10" s="336"/>
      <c r="DZ10" s="336"/>
      <c r="EA10" s="336"/>
      <c r="EB10" s="336"/>
      <c r="EC10" s="336"/>
      <c r="ED10" s="336"/>
      <c r="EE10" s="336"/>
      <c r="EF10" s="336"/>
      <c r="EG10" s="336"/>
      <c r="EH10" s="336"/>
      <c r="EI10" s="336"/>
      <c r="EJ10" s="336"/>
      <c r="EK10" s="336"/>
      <c r="EL10" s="336"/>
      <c r="EM10" s="336"/>
      <c r="EN10" s="336"/>
      <c r="EO10" s="336"/>
      <c r="EP10" s="336"/>
      <c r="EQ10" s="336"/>
      <c r="ER10" s="336"/>
      <c r="ES10" s="336"/>
      <c r="ET10" s="336"/>
      <c r="EU10" s="336"/>
      <c r="EV10" s="336"/>
      <c r="EW10" s="336"/>
      <c r="EX10" s="336"/>
      <c r="EY10" s="336"/>
      <c r="EZ10" s="336"/>
      <c r="FA10" s="336"/>
      <c r="FB10" s="336"/>
      <c r="FC10" s="336"/>
      <c r="FD10" s="336"/>
      <c r="FE10" s="336"/>
      <c r="FF10" s="336"/>
      <c r="FG10" s="336"/>
      <c r="FH10" s="336"/>
      <c r="FI10" s="336"/>
      <c r="FJ10" s="336"/>
      <c r="FK10" s="336"/>
      <c r="FL10" s="336"/>
      <c r="FM10" s="336"/>
      <c r="FN10" s="336"/>
      <c r="FO10" s="336"/>
      <c r="FP10" s="336"/>
      <c r="FQ10" s="336"/>
      <c r="FR10" s="336"/>
      <c r="FS10" s="336"/>
      <c r="FT10" s="336"/>
      <c r="FU10" s="336"/>
      <c r="FV10" s="336"/>
      <c r="FW10" s="336"/>
      <c r="FX10" s="336"/>
      <c r="FY10" s="336"/>
      <c r="FZ10" s="336"/>
      <c r="GA10" s="336"/>
      <c r="GB10" s="336"/>
      <c r="GC10" s="336"/>
      <c r="GD10" s="336"/>
      <c r="GE10" s="336"/>
      <c r="GF10" s="336"/>
      <c r="GG10" s="336"/>
      <c r="GH10" s="336"/>
      <c r="GI10" s="336"/>
      <c r="GJ10" s="336"/>
      <c r="GK10" s="336"/>
      <c r="GL10" s="336"/>
      <c r="GM10" s="336"/>
      <c r="GN10" s="336"/>
      <c r="GO10" s="336"/>
      <c r="GP10" s="336"/>
      <c r="GQ10" s="336"/>
      <c r="GR10" s="336"/>
      <c r="GS10" s="336"/>
      <c r="GT10" s="336"/>
      <c r="GU10" s="336"/>
      <c r="GV10" s="336"/>
      <c r="GW10" s="336"/>
      <c r="GX10" s="336"/>
      <c r="GY10" s="336"/>
      <c r="GZ10" s="336"/>
      <c r="HA10" s="336"/>
      <c r="HB10" s="336"/>
      <c r="HC10" s="336"/>
      <c r="HD10" s="336"/>
      <c r="HE10" s="336"/>
      <c r="HF10" s="336"/>
      <c r="HG10" s="336"/>
      <c r="HH10" s="336"/>
      <c r="HI10" s="336"/>
      <c r="HJ10" s="336"/>
      <c r="HK10" s="336"/>
      <c r="HL10" s="336"/>
      <c r="HM10" s="336"/>
      <c r="HN10" s="336"/>
      <c r="HO10" s="336"/>
      <c r="HP10" s="336"/>
      <c r="HQ10" s="336"/>
      <c r="HR10" s="336"/>
      <c r="HS10" s="336"/>
      <c r="HT10" s="336"/>
      <c r="HU10" s="336"/>
      <c r="HV10" s="336"/>
      <c r="HW10" s="336"/>
      <c r="HX10" s="336"/>
      <c r="HY10" s="336"/>
      <c r="HZ10" s="336"/>
      <c r="IA10" s="336"/>
      <c r="IB10" s="336"/>
      <c r="IC10" s="336"/>
      <c r="ID10" s="336"/>
      <c r="IE10" s="336"/>
      <c r="IF10" s="336"/>
      <c r="IG10" s="336"/>
      <c r="IH10" s="336"/>
      <c r="II10" s="336"/>
      <c r="IJ10" s="336"/>
      <c r="IK10" s="336"/>
      <c r="IL10" s="336"/>
      <c r="IM10" s="336"/>
      <c r="IN10" s="336"/>
      <c r="IO10" s="336"/>
      <c r="IP10" s="336"/>
      <c r="IQ10" s="336"/>
      <c r="IR10" s="336"/>
      <c r="IS10" s="336"/>
      <c r="IT10" s="336"/>
      <c r="IU10" s="336"/>
      <c r="IV10" s="336"/>
    </row>
    <row r="11" spans="1:256" s="449" customFormat="1" ht="15.75">
      <c r="A11" s="758" t="s">
        <v>1165</v>
      </c>
      <c r="B11" s="758" t="s">
        <v>1164</v>
      </c>
      <c r="C11" s="757"/>
      <c r="D11" s="337"/>
      <c r="E11" s="337"/>
      <c r="F11" s="336"/>
      <c r="G11" s="435"/>
      <c r="H11" s="457"/>
      <c r="I11" s="45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862"/>
      <c r="V11" s="862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  <c r="DN11" s="336"/>
      <c r="DO11" s="336"/>
      <c r="DP11" s="336"/>
      <c r="DQ11" s="336"/>
      <c r="DR11" s="336"/>
      <c r="DS11" s="336"/>
      <c r="DT11" s="336"/>
      <c r="DU11" s="336"/>
      <c r="DV11" s="336"/>
      <c r="DW11" s="336"/>
      <c r="DX11" s="336"/>
      <c r="DY11" s="336"/>
      <c r="DZ11" s="336"/>
      <c r="EA11" s="336"/>
      <c r="EB11" s="336"/>
      <c r="EC11" s="336"/>
      <c r="ED11" s="336"/>
      <c r="EE11" s="336"/>
      <c r="EF11" s="336"/>
      <c r="EG11" s="336"/>
      <c r="EH11" s="336"/>
      <c r="EI11" s="336"/>
      <c r="EJ11" s="336"/>
      <c r="EK11" s="336"/>
      <c r="EL11" s="336"/>
      <c r="EM11" s="336"/>
      <c r="EN11" s="336"/>
      <c r="EO11" s="336"/>
      <c r="EP11" s="336"/>
      <c r="EQ11" s="336"/>
      <c r="ER11" s="336"/>
      <c r="ES11" s="336"/>
      <c r="ET11" s="336"/>
      <c r="EU11" s="336"/>
      <c r="EV11" s="336"/>
      <c r="EW11" s="336"/>
      <c r="EX11" s="336"/>
      <c r="EY11" s="336"/>
      <c r="EZ11" s="336"/>
      <c r="FA11" s="336"/>
      <c r="FB11" s="336"/>
      <c r="FC11" s="336"/>
      <c r="FD11" s="336"/>
      <c r="FE11" s="336"/>
      <c r="FF11" s="336"/>
      <c r="FG11" s="336"/>
      <c r="FH11" s="336"/>
      <c r="FI11" s="336"/>
      <c r="FJ11" s="336"/>
      <c r="FK11" s="336"/>
      <c r="FL11" s="336"/>
      <c r="FM11" s="336"/>
      <c r="FN11" s="336"/>
      <c r="FO11" s="336"/>
      <c r="FP11" s="336"/>
      <c r="FQ11" s="336"/>
      <c r="FR11" s="336"/>
      <c r="FS11" s="336"/>
      <c r="FT11" s="336"/>
      <c r="FU11" s="336"/>
      <c r="FV11" s="336"/>
      <c r="FW11" s="336"/>
      <c r="FX11" s="336"/>
      <c r="FY11" s="336"/>
      <c r="FZ11" s="336"/>
      <c r="GA11" s="336"/>
      <c r="GB11" s="336"/>
      <c r="GC11" s="336"/>
      <c r="GD11" s="336"/>
      <c r="GE11" s="336"/>
      <c r="GF11" s="336"/>
      <c r="GG11" s="336"/>
      <c r="GH11" s="336"/>
      <c r="GI11" s="336"/>
      <c r="GJ11" s="336"/>
      <c r="GK11" s="336"/>
      <c r="GL11" s="336"/>
      <c r="GM11" s="336"/>
      <c r="GN11" s="336"/>
      <c r="GO11" s="336"/>
      <c r="GP11" s="336"/>
      <c r="GQ11" s="336"/>
      <c r="GR11" s="336"/>
      <c r="GS11" s="336"/>
      <c r="GT11" s="336"/>
      <c r="GU11" s="336"/>
      <c r="GV11" s="336"/>
      <c r="GW11" s="336"/>
      <c r="GX11" s="336"/>
      <c r="GY11" s="336"/>
      <c r="GZ11" s="336"/>
      <c r="HA11" s="336"/>
      <c r="HB11" s="336"/>
      <c r="HC11" s="336"/>
      <c r="HD11" s="336"/>
      <c r="HE11" s="336"/>
      <c r="HF11" s="336"/>
      <c r="HG11" s="336"/>
      <c r="HH11" s="336"/>
      <c r="HI11" s="336"/>
      <c r="HJ11" s="336"/>
      <c r="HK11" s="336"/>
      <c r="HL11" s="336"/>
      <c r="HM11" s="336"/>
      <c r="HN11" s="336"/>
      <c r="HO11" s="336"/>
      <c r="HP11" s="336"/>
      <c r="HQ11" s="336"/>
      <c r="HR11" s="336"/>
      <c r="HS11" s="336"/>
      <c r="HT11" s="336"/>
      <c r="HU11" s="336"/>
      <c r="HV11" s="336"/>
      <c r="HW11" s="336"/>
      <c r="HX11" s="336"/>
      <c r="HY11" s="336"/>
      <c r="HZ11" s="336"/>
      <c r="IA11" s="336"/>
      <c r="IB11" s="336"/>
      <c r="IC11" s="336"/>
      <c r="ID11" s="336"/>
      <c r="IE11" s="336"/>
      <c r="IF11" s="336"/>
      <c r="IG11" s="336"/>
      <c r="IH11" s="336"/>
      <c r="II11" s="336"/>
      <c r="IJ11" s="336"/>
      <c r="IK11" s="336"/>
      <c r="IL11" s="336"/>
      <c r="IM11" s="336"/>
      <c r="IN11" s="336"/>
      <c r="IO11" s="336"/>
      <c r="IP11" s="336"/>
      <c r="IQ11" s="336"/>
      <c r="IR11" s="336"/>
      <c r="IS11" s="336"/>
      <c r="IT11" s="336"/>
      <c r="IU11" s="336"/>
      <c r="IV11" s="336"/>
    </row>
    <row r="12" spans="4:17" ht="15.75">
      <c r="D12" s="457"/>
      <c r="E12" s="756"/>
      <c r="F12" s="756"/>
      <c r="G12" s="756"/>
      <c r="H12" s="859"/>
      <c r="I12" s="859"/>
      <c r="Q12" s="754"/>
    </row>
  </sheetData>
  <sheetProtection/>
  <mergeCells count="4">
    <mergeCell ref="H12:I12"/>
    <mergeCell ref="N7:P7"/>
    <mergeCell ref="U11:V11"/>
    <mergeCell ref="C8:Q8"/>
  </mergeCells>
  <printOptions/>
  <pageMargins left="0.984251968503937" right="0.1968503937007874" top="0.984251968503937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zoomScale="80" zoomScaleNormal="80" zoomScalePageLayoutView="0" workbookViewId="0" topLeftCell="A1">
      <selection activeCell="T27" sqref="T27"/>
    </sheetView>
  </sheetViews>
  <sheetFormatPr defaultColWidth="9.00390625" defaultRowHeight="12.75"/>
  <cols>
    <col min="4" max="4" width="10.375" style="0" bestFit="1" customWidth="1"/>
    <col min="7" max="7" width="11.25390625" style="0" customWidth="1"/>
    <col min="10" max="10" width="10.375" style="0" customWidth="1"/>
    <col min="14" max="14" width="12.625" style="0" customWidth="1"/>
    <col min="15" max="15" width="9.25390625" style="0" bestFit="1" customWidth="1"/>
    <col min="18" max="18" width="9.25390625" style="0" bestFit="1" customWidth="1"/>
    <col min="19" max="19" width="10.625" style="0" bestFit="1" customWidth="1"/>
    <col min="24" max="25" width="11.125" style="0" customWidth="1"/>
  </cols>
  <sheetData>
    <row r="1" spans="8:12" ht="12.75">
      <c r="H1" s="790"/>
      <c r="L1" s="790"/>
    </row>
    <row r="2" spans="2:20" ht="13.5" thickBot="1">
      <c r="B2" s="790"/>
      <c r="E2" s="790"/>
      <c r="F2" s="902" t="s">
        <v>1159</v>
      </c>
      <c r="G2" s="902"/>
      <c r="H2" s="902"/>
      <c r="I2" s="902"/>
      <c r="J2" s="902"/>
      <c r="K2" s="902"/>
      <c r="L2" s="902"/>
      <c r="M2" s="902"/>
      <c r="N2" s="902"/>
      <c r="O2" s="792"/>
      <c r="P2" s="496"/>
      <c r="Q2" s="496"/>
      <c r="R2" s="496"/>
      <c r="S2" s="496"/>
      <c r="T2" s="496"/>
    </row>
    <row r="5" ht="13.5" thickBot="1"/>
    <row r="6" spans="1:25" s="617" customFormat="1" ht="13.5" customHeight="1" thickBot="1">
      <c r="A6" s="897" t="s">
        <v>1151</v>
      </c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</row>
    <row r="7" spans="1:25" s="617" customFormat="1" ht="15.75" customHeight="1" thickBot="1">
      <c r="A7" s="900" t="s">
        <v>1118</v>
      </c>
      <c r="B7" s="864" t="s">
        <v>1119</v>
      </c>
      <c r="C7" s="865"/>
      <c r="D7" s="867"/>
      <c r="E7" s="864" t="s">
        <v>1120</v>
      </c>
      <c r="F7" s="865"/>
      <c r="G7" s="865"/>
      <c r="H7" s="865"/>
      <c r="I7" s="865"/>
      <c r="J7" s="865"/>
      <c r="K7" s="865"/>
      <c r="L7" s="865"/>
      <c r="M7" s="867"/>
      <c r="N7" s="868" t="s">
        <v>1121</v>
      </c>
      <c r="O7" s="883" t="s">
        <v>1122</v>
      </c>
      <c r="P7" s="884"/>
      <c r="Q7" s="885"/>
      <c r="R7" s="889" t="s">
        <v>1123</v>
      </c>
      <c r="S7" s="890"/>
      <c r="T7" s="890"/>
      <c r="U7" s="890"/>
      <c r="V7" s="890"/>
      <c r="W7" s="891"/>
      <c r="X7" s="868" t="s">
        <v>1124</v>
      </c>
      <c r="Y7" s="892" t="s">
        <v>1125</v>
      </c>
    </row>
    <row r="8" spans="1:25" s="617" customFormat="1" ht="13.5" thickBot="1">
      <c r="A8" s="901"/>
      <c r="B8" s="870" t="s">
        <v>1126</v>
      </c>
      <c r="C8" s="871"/>
      <c r="D8" s="872"/>
      <c r="E8" s="873" t="s">
        <v>1120</v>
      </c>
      <c r="F8" s="874"/>
      <c r="G8" s="875"/>
      <c r="H8" s="873" t="s">
        <v>1127</v>
      </c>
      <c r="I8" s="874"/>
      <c r="J8" s="875"/>
      <c r="K8" s="873" t="s">
        <v>1128</v>
      </c>
      <c r="L8" s="874"/>
      <c r="M8" s="875"/>
      <c r="N8" s="869"/>
      <c r="O8" s="886"/>
      <c r="P8" s="887"/>
      <c r="Q8" s="888"/>
      <c r="R8" s="876" t="s">
        <v>654</v>
      </c>
      <c r="S8" s="877"/>
      <c r="T8" s="878"/>
      <c r="U8" s="894" t="s">
        <v>1129</v>
      </c>
      <c r="V8" s="895"/>
      <c r="W8" s="896"/>
      <c r="X8" s="869"/>
      <c r="Y8" s="893"/>
    </row>
    <row r="9" spans="1:25" s="617" customFormat="1" ht="21">
      <c r="A9" s="904"/>
      <c r="B9" s="618" t="s">
        <v>1130</v>
      </c>
      <c r="C9" s="619" t="s">
        <v>1131</v>
      </c>
      <c r="D9" s="620" t="s">
        <v>295</v>
      </c>
      <c r="E9" s="621" t="s">
        <v>1132</v>
      </c>
      <c r="F9" s="622" t="s">
        <v>1133</v>
      </c>
      <c r="G9" s="623" t="s">
        <v>295</v>
      </c>
      <c r="H9" s="618" t="s">
        <v>1132</v>
      </c>
      <c r="I9" s="622" t="s">
        <v>1133</v>
      </c>
      <c r="J9" s="623" t="s">
        <v>295</v>
      </c>
      <c r="K9" s="618" t="s">
        <v>1134</v>
      </c>
      <c r="L9" s="619" t="s">
        <v>1133</v>
      </c>
      <c r="M9" s="624" t="s">
        <v>295</v>
      </c>
      <c r="N9" s="882"/>
      <c r="O9" s="625" t="s">
        <v>1134</v>
      </c>
      <c r="P9" s="626" t="s">
        <v>1133</v>
      </c>
      <c r="Q9" s="627" t="s">
        <v>295</v>
      </c>
      <c r="R9" s="625" t="s">
        <v>1134</v>
      </c>
      <c r="S9" s="626" t="s">
        <v>1133</v>
      </c>
      <c r="T9" s="627" t="s">
        <v>295</v>
      </c>
      <c r="U9" s="628" t="s">
        <v>1134</v>
      </c>
      <c r="V9" s="629" t="s">
        <v>1133</v>
      </c>
      <c r="W9" s="630" t="s">
        <v>295</v>
      </c>
      <c r="X9" s="882"/>
      <c r="Y9" s="903"/>
    </row>
    <row r="10" spans="1:25" s="633" customFormat="1" ht="9">
      <c r="A10" s="631">
        <v>1</v>
      </c>
      <c r="B10" s="631">
        <v>2</v>
      </c>
      <c r="C10" s="631">
        <v>3</v>
      </c>
      <c r="D10" s="631">
        <v>4</v>
      </c>
      <c r="E10" s="631">
        <v>6</v>
      </c>
      <c r="F10" s="631">
        <v>7</v>
      </c>
      <c r="G10" s="631">
        <v>8</v>
      </c>
      <c r="H10" s="631">
        <v>9</v>
      </c>
      <c r="I10" s="631">
        <v>10</v>
      </c>
      <c r="J10" s="631">
        <v>11</v>
      </c>
      <c r="K10" s="631">
        <v>12</v>
      </c>
      <c r="L10" s="631">
        <v>13</v>
      </c>
      <c r="M10" s="631">
        <v>14</v>
      </c>
      <c r="N10" s="631">
        <v>15</v>
      </c>
      <c r="O10" s="632">
        <v>16</v>
      </c>
      <c r="P10" s="632">
        <v>17</v>
      </c>
      <c r="Q10" s="632">
        <v>18</v>
      </c>
      <c r="R10" s="632">
        <v>19</v>
      </c>
      <c r="S10" s="632">
        <v>20</v>
      </c>
      <c r="T10" s="632">
        <v>21</v>
      </c>
      <c r="U10" s="631">
        <v>22</v>
      </c>
      <c r="V10" s="631">
        <v>23</v>
      </c>
      <c r="W10" s="631">
        <v>24</v>
      </c>
      <c r="X10" s="631">
        <v>25</v>
      </c>
      <c r="Y10" s="631">
        <v>26</v>
      </c>
    </row>
    <row r="11" spans="1:25" s="617" customFormat="1" ht="12.75">
      <c r="A11" s="634" t="s">
        <v>1135</v>
      </c>
      <c r="B11" s="635">
        <v>5.55</v>
      </c>
      <c r="C11" s="636">
        <v>6608.223</v>
      </c>
      <c r="D11" s="637">
        <f>B11*C11</f>
        <v>36675.63765</v>
      </c>
      <c r="E11" s="638">
        <v>12.59</v>
      </c>
      <c r="F11" s="639">
        <f>2080.13*1.18</f>
        <v>2454.5534</v>
      </c>
      <c r="G11" s="640">
        <f>E11*F11</f>
        <v>30902.827305999996</v>
      </c>
      <c r="H11" s="641">
        <v>5.84</v>
      </c>
      <c r="I11" s="639">
        <f>2080.13*1.18</f>
        <v>2454.5534</v>
      </c>
      <c r="J11" s="642">
        <f>H11*I11</f>
        <v>14334.591856</v>
      </c>
      <c r="K11" s="643">
        <v>63.39</v>
      </c>
      <c r="L11" s="639">
        <f>34.59*1.18</f>
        <v>40.8162</v>
      </c>
      <c r="M11" s="637">
        <v>2587.34</v>
      </c>
      <c r="N11" s="644">
        <f>G11+M11+J11</f>
        <v>47824.759161999995</v>
      </c>
      <c r="O11" s="635">
        <v>279.92</v>
      </c>
      <c r="P11" s="639">
        <f>14.29*1.18</f>
        <v>16.862199999999998</v>
      </c>
      <c r="Q11" s="637">
        <f>O11*P11</f>
        <v>4720.067024</v>
      </c>
      <c r="R11" s="635">
        <v>381.05</v>
      </c>
      <c r="S11" s="636">
        <f>14.31*1.18</f>
        <v>16.8858</v>
      </c>
      <c r="T11" s="647">
        <f>R11*S11</f>
        <v>6434.33409</v>
      </c>
      <c r="U11" s="635"/>
      <c r="V11" s="649"/>
      <c r="W11" s="637">
        <f>U11*V11</f>
        <v>0</v>
      </c>
      <c r="X11" s="644">
        <f>Q11+T11+W11</f>
        <v>11154.401114</v>
      </c>
      <c r="Y11" s="650">
        <f>D11+N11+X11</f>
        <v>95654.797926</v>
      </c>
    </row>
    <row r="12" spans="1:25" s="617" customFormat="1" ht="12.75">
      <c r="A12" s="651" t="s">
        <v>1136</v>
      </c>
      <c r="B12" s="652">
        <v>6.196</v>
      </c>
      <c r="C12" s="636">
        <v>6704.394</v>
      </c>
      <c r="D12" s="637">
        <f>B12*C12</f>
        <v>41540.425224</v>
      </c>
      <c r="E12" s="638">
        <v>53.46</v>
      </c>
      <c r="F12" s="639">
        <f>2080.13*1.18</f>
        <v>2454.5534</v>
      </c>
      <c r="G12" s="653">
        <f>E12*F12</f>
        <v>131220.424764</v>
      </c>
      <c r="H12" s="641">
        <v>8.2</v>
      </c>
      <c r="I12" s="639">
        <f>2080.13*1.18</f>
        <v>2454.5534</v>
      </c>
      <c r="J12" s="642">
        <f>H12*I12</f>
        <v>20127.337879999995</v>
      </c>
      <c r="K12" s="654">
        <v>116.17</v>
      </c>
      <c r="L12" s="639">
        <f aca="true" t="shared" si="0" ref="L12:L25">34.59*1.18</f>
        <v>40.8162</v>
      </c>
      <c r="M12" s="655">
        <v>4741.62</v>
      </c>
      <c r="N12" s="644">
        <f>G12+M12+J12</f>
        <v>156089.382644</v>
      </c>
      <c r="O12" s="652">
        <v>193.73</v>
      </c>
      <c r="P12" s="639">
        <f>14.29*1.18</f>
        <v>16.862199999999998</v>
      </c>
      <c r="Q12" s="655">
        <f>O12*P12</f>
        <v>3266.7140059999992</v>
      </c>
      <c r="R12" s="652">
        <v>296.71</v>
      </c>
      <c r="S12" s="636">
        <f aca="true" t="shared" si="1" ref="S12:S17">14.31*1.18</f>
        <v>16.8858</v>
      </c>
      <c r="T12" s="657">
        <f>R12*S12</f>
        <v>5010.185718</v>
      </c>
      <c r="U12" s="635"/>
      <c r="V12" s="649"/>
      <c r="W12" s="655">
        <f>U12*V12</f>
        <v>0</v>
      </c>
      <c r="X12" s="644">
        <f>Q12+T12+W12</f>
        <v>8276.899723999999</v>
      </c>
      <c r="Y12" s="650">
        <f aca="true" t="shared" si="2" ref="Y12:Y25">D12+N12+X12</f>
        <v>205906.707592</v>
      </c>
    </row>
    <row r="13" spans="1:25" s="617" customFormat="1" ht="12.75">
      <c r="A13" s="651" t="s">
        <v>1137</v>
      </c>
      <c r="B13" s="652">
        <v>5.367</v>
      </c>
      <c r="C13" s="636">
        <v>6282.414</v>
      </c>
      <c r="D13" s="637">
        <f>B13*C13</f>
        <v>33717.715938</v>
      </c>
      <c r="E13" s="638">
        <v>41</v>
      </c>
      <c r="F13" s="639">
        <f>2080.13*1.18</f>
        <v>2454.5534</v>
      </c>
      <c r="G13" s="653">
        <f>E13*F13</f>
        <v>100636.68939999999</v>
      </c>
      <c r="H13" s="658">
        <v>7.4</v>
      </c>
      <c r="I13" s="639">
        <f>2080.13*1.18</f>
        <v>2454.5534</v>
      </c>
      <c r="J13" s="642">
        <f>H13*I13</f>
        <v>18163.69516</v>
      </c>
      <c r="K13" s="654">
        <v>119.36</v>
      </c>
      <c r="L13" s="639">
        <f t="shared" si="0"/>
        <v>40.8162</v>
      </c>
      <c r="M13" s="655">
        <f>K13*L13</f>
        <v>4871.821632</v>
      </c>
      <c r="N13" s="644">
        <f>G13+M13+J13</f>
        <v>123672.206192</v>
      </c>
      <c r="O13" s="652">
        <v>164.1</v>
      </c>
      <c r="P13" s="639">
        <f>14.29*1.18</f>
        <v>16.862199999999998</v>
      </c>
      <c r="Q13" s="655">
        <f>O13*P13</f>
        <v>2767.0870199999995</v>
      </c>
      <c r="R13" s="652">
        <v>276.43</v>
      </c>
      <c r="S13" s="636">
        <f t="shared" si="1"/>
        <v>16.8858</v>
      </c>
      <c r="T13" s="657">
        <f>R13*S13</f>
        <v>4667.741694</v>
      </c>
      <c r="U13" s="635"/>
      <c r="V13" s="649"/>
      <c r="W13" s="655">
        <f>U13*V13</f>
        <v>0</v>
      </c>
      <c r="X13" s="644">
        <f>Q13+T13+W13</f>
        <v>7434.828713999999</v>
      </c>
      <c r="Y13" s="650">
        <f t="shared" si="2"/>
        <v>164824.750844</v>
      </c>
    </row>
    <row r="14" spans="1:25" s="617" customFormat="1" ht="22.5">
      <c r="A14" s="659" t="s">
        <v>1138</v>
      </c>
      <c r="B14" s="652">
        <f>B11+B12+B13</f>
        <v>17.113</v>
      </c>
      <c r="C14" s="642"/>
      <c r="D14" s="660">
        <f aca="true" t="shared" si="3" ref="D14:Y14">D11+D12+D13</f>
        <v>111933.778812</v>
      </c>
      <c r="E14" s="652">
        <f t="shared" si="3"/>
        <v>107.05</v>
      </c>
      <c r="F14" s="658"/>
      <c r="G14" s="661">
        <f t="shared" si="3"/>
        <v>262759.94146999996</v>
      </c>
      <c r="H14" s="658">
        <f>H11+H12+H13</f>
        <v>21.439999999999998</v>
      </c>
      <c r="I14" s="658"/>
      <c r="J14" s="642">
        <f>J11+J12+J13</f>
        <v>52625.624895999994</v>
      </c>
      <c r="K14" s="662">
        <f t="shared" si="3"/>
        <v>298.92</v>
      </c>
      <c r="L14" s="639"/>
      <c r="M14" s="663">
        <f t="shared" si="3"/>
        <v>12200.781632</v>
      </c>
      <c r="N14" s="664">
        <f>N11+N12+N13</f>
        <v>327586.347998</v>
      </c>
      <c r="O14" s="652">
        <f t="shared" si="3"/>
        <v>637.75</v>
      </c>
      <c r="P14" s="641"/>
      <c r="Q14" s="663">
        <f t="shared" si="3"/>
        <v>10753.86805</v>
      </c>
      <c r="R14" s="652">
        <f t="shared" si="3"/>
        <v>954.19</v>
      </c>
      <c r="S14" s="658"/>
      <c r="T14" s="667">
        <f t="shared" si="3"/>
        <v>16112.261502000001</v>
      </c>
      <c r="U14" s="652">
        <f t="shared" si="3"/>
        <v>0</v>
      </c>
      <c r="V14" s="658"/>
      <c r="W14" s="663">
        <f t="shared" si="3"/>
        <v>0</v>
      </c>
      <c r="X14" s="669">
        <f t="shared" si="3"/>
        <v>26866.129552</v>
      </c>
      <c r="Y14" s="670">
        <f t="shared" si="3"/>
        <v>466386.256362</v>
      </c>
    </row>
    <row r="15" spans="1:25" s="496" customFormat="1" ht="12.75">
      <c r="A15" s="671" t="s">
        <v>1139</v>
      </c>
      <c r="B15" s="652">
        <v>5.544</v>
      </c>
      <c r="C15" s="636">
        <v>6401.583</v>
      </c>
      <c r="D15" s="655">
        <f>B15*C15</f>
        <v>35490.376152</v>
      </c>
      <c r="E15" s="679">
        <v>43.75</v>
      </c>
      <c r="F15" s="639">
        <f>2080.13*1.18</f>
        <v>2454.5534</v>
      </c>
      <c r="G15" s="653">
        <f>E15*F15</f>
        <v>107386.71125</v>
      </c>
      <c r="H15" s="658">
        <v>8.44</v>
      </c>
      <c r="I15" s="639">
        <f>2080.13*1.18</f>
        <v>2454.5534</v>
      </c>
      <c r="J15" s="642">
        <f>H15*I15</f>
        <v>20716.430695999996</v>
      </c>
      <c r="K15" s="662">
        <v>139.54</v>
      </c>
      <c r="L15" s="639">
        <f t="shared" si="0"/>
        <v>40.8162</v>
      </c>
      <c r="M15" s="655">
        <v>5695.49</v>
      </c>
      <c r="N15" s="664">
        <f>G15+M15+J15</f>
        <v>133798.63194599998</v>
      </c>
      <c r="O15" s="635">
        <v>213.49</v>
      </c>
      <c r="P15" s="639">
        <f>14.29*1.18</f>
        <v>16.862199999999998</v>
      </c>
      <c r="Q15" s="655">
        <v>4059.31</v>
      </c>
      <c r="R15" s="635">
        <v>361.97</v>
      </c>
      <c r="S15" s="636">
        <f t="shared" si="1"/>
        <v>16.8858</v>
      </c>
      <c r="T15" s="657">
        <f>R15*S15</f>
        <v>6112.153026</v>
      </c>
      <c r="U15" s="665"/>
      <c r="V15" s="676"/>
      <c r="W15" s="657">
        <f>U15*V15</f>
        <v>0</v>
      </c>
      <c r="X15" s="677">
        <f>Q15+T15+W15</f>
        <v>10171.463026</v>
      </c>
      <c r="Y15" s="678">
        <f t="shared" si="2"/>
        <v>179460.47112399997</v>
      </c>
    </row>
    <row r="16" spans="1:25" s="496" customFormat="1" ht="12.75">
      <c r="A16" s="671" t="s">
        <v>1140</v>
      </c>
      <c r="B16" s="679">
        <v>6.36</v>
      </c>
      <c r="C16" s="636">
        <v>5987.119</v>
      </c>
      <c r="D16" s="655">
        <f>B16*C16</f>
        <v>38078.07684</v>
      </c>
      <c r="E16" s="679">
        <v>33.93</v>
      </c>
      <c r="F16" s="639">
        <f>2080.13*1.18</f>
        <v>2454.5534</v>
      </c>
      <c r="G16" s="653">
        <f>E16*F16</f>
        <v>83282.99686199999</v>
      </c>
      <c r="H16" s="658">
        <v>5.29</v>
      </c>
      <c r="I16" s="639">
        <f>2080.13*1.18</f>
        <v>2454.5534</v>
      </c>
      <c r="J16" s="642">
        <f>H16*I16</f>
        <v>12984.587485999999</v>
      </c>
      <c r="K16" s="654">
        <v>88.7</v>
      </c>
      <c r="L16" s="639">
        <f t="shared" si="0"/>
        <v>40.8162</v>
      </c>
      <c r="M16" s="655">
        <v>3620.39</v>
      </c>
      <c r="N16" s="664">
        <f>G16+M16+J16</f>
        <v>99887.97434799999</v>
      </c>
      <c r="O16" s="652">
        <v>195.23</v>
      </c>
      <c r="P16" s="639">
        <f>14.29*1.18</f>
        <v>16.862199999999998</v>
      </c>
      <c r="Q16" s="655">
        <f>O16*P16</f>
        <v>3292.0073059999995</v>
      </c>
      <c r="R16" s="652">
        <v>333.1</v>
      </c>
      <c r="S16" s="636">
        <f t="shared" si="1"/>
        <v>16.8858</v>
      </c>
      <c r="T16" s="657">
        <f>R16*S16</f>
        <v>5624.65998</v>
      </c>
      <c r="U16" s="665"/>
      <c r="V16" s="676"/>
      <c r="W16" s="657">
        <f>U16*V16</f>
        <v>0</v>
      </c>
      <c r="X16" s="677">
        <f>Q16+T16+W16</f>
        <v>8916.667286</v>
      </c>
      <c r="Y16" s="678">
        <f t="shared" si="2"/>
        <v>146882.718474</v>
      </c>
    </row>
    <row r="17" spans="1:25" s="496" customFormat="1" ht="12.75">
      <c r="A17" s="671" t="s">
        <v>1141</v>
      </c>
      <c r="B17" s="652">
        <v>5.445</v>
      </c>
      <c r="C17" s="636">
        <v>6027.004</v>
      </c>
      <c r="D17" s="655">
        <f>B17*C17</f>
        <v>32817.03678</v>
      </c>
      <c r="E17" s="679">
        <v>0</v>
      </c>
      <c r="F17" s="639">
        <f>2080.13*1.18</f>
        <v>2454.5534</v>
      </c>
      <c r="G17" s="653">
        <f>E17*F17</f>
        <v>0</v>
      </c>
      <c r="H17" s="658">
        <v>7.8</v>
      </c>
      <c r="I17" s="639">
        <f>2080.13*1.18</f>
        <v>2454.5534</v>
      </c>
      <c r="J17" s="642">
        <v>13431.29</v>
      </c>
      <c r="K17" s="654">
        <v>112.33</v>
      </c>
      <c r="L17" s="639">
        <f t="shared" si="0"/>
        <v>40.8162</v>
      </c>
      <c r="M17" s="655">
        <v>4584.88</v>
      </c>
      <c r="N17" s="664">
        <f>G17+M17+J17</f>
        <v>18016.170000000002</v>
      </c>
      <c r="O17" s="652">
        <v>254.22</v>
      </c>
      <c r="P17" s="639">
        <f>14.29*1.18</f>
        <v>16.862199999999998</v>
      </c>
      <c r="Q17" s="655">
        <f>O17*P17</f>
        <v>4286.708484</v>
      </c>
      <c r="R17" s="652">
        <v>381.21</v>
      </c>
      <c r="S17" s="636">
        <f t="shared" si="1"/>
        <v>16.8858</v>
      </c>
      <c r="T17" s="657">
        <f>R17*S17</f>
        <v>6437.035817999999</v>
      </c>
      <c r="U17" s="665"/>
      <c r="V17" s="676"/>
      <c r="W17" s="657">
        <f>U17*V17</f>
        <v>0</v>
      </c>
      <c r="X17" s="677">
        <f>Q17+T17+W17</f>
        <v>10723.744302</v>
      </c>
      <c r="Y17" s="678">
        <f t="shared" si="2"/>
        <v>61556.95108200001</v>
      </c>
    </row>
    <row r="18" spans="1:25" s="617" customFormat="1" ht="22.5">
      <c r="A18" s="659" t="s">
        <v>1142</v>
      </c>
      <c r="B18" s="679">
        <f>B15+B16+B17</f>
        <v>17.349</v>
      </c>
      <c r="C18" s="642"/>
      <c r="D18" s="660">
        <f>D15+D16+D17</f>
        <v>106385.489772</v>
      </c>
      <c r="E18" s="652">
        <f>E15+E16+E17</f>
        <v>77.68</v>
      </c>
      <c r="F18" s="658"/>
      <c r="G18" s="661">
        <f>G15+G16+G17</f>
        <v>190669.70811199996</v>
      </c>
      <c r="H18" s="658">
        <f>H15+H16+H17</f>
        <v>21.53</v>
      </c>
      <c r="I18" s="658"/>
      <c r="J18" s="642">
        <f>J15+J16+J17</f>
        <v>47132.30818199999</v>
      </c>
      <c r="K18" s="662">
        <f>K15+K16+K17</f>
        <v>340.57</v>
      </c>
      <c r="L18" s="639"/>
      <c r="M18" s="663">
        <f>M15+M16+M17</f>
        <v>13900.759999999998</v>
      </c>
      <c r="N18" s="680">
        <f>N15+N16+N17</f>
        <v>251702.77629399998</v>
      </c>
      <c r="O18" s="652">
        <f>O15+O16+O17</f>
        <v>662.94</v>
      </c>
      <c r="P18" s="641"/>
      <c r="Q18" s="663">
        <f>Q15+Q16+Q17</f>
        <v>11638.02579</v>
      </c>
      <c r="R18" s="652">
        <f>R15+R16+R17</f>
        <v>1076.28</v>
      </c>
      <c r="S18" s="687"/>
      <c r="T18" s="667">
        <f>T15+T16+T17</f>
        <v>18173.848824</v>
      </c>
      <c r="U18" s="652">
        <f>U15+U16+U17</f>
        <v>0</v>
      </c>
      <c r="V18" s="658"/>
      <c r="W18" s="663">
        <f>W15+W16+W17</f>
        <v>0</v>
      </c>
      <c r="X18" s="669">
        <f>X15+X16+X17</f>
        <v>29811.874614</v>
      </c>
      <c r="Y18" s="670">
        <f>Y15+Y16+Y17</f>
        <v>387900.14067999995</v>
      </c>
    </row>
    <row r="19" spans="1:25" s="617" customFormat="1" ht="12.75">
      <c r="A19" s="651" t="s">
        <v>1143</v>
      </c>
      <c r="B19" s="635">
        <v>5.183</v>
      </c>
      <c r="C19" s="636">
        <f>5500.67*1.18</f>
        <v>6490.790599999999</v>
      </c>
      <c r="D19" s="655">
        <f>ROUND(B19*C19,2)</f>
        <v>33641.77</v>
      </c>
      <c r="E19" s="652">
        <v>0</v>
      </c>
      <c r="F19" s="639">
        <f>2080.13*1.18</f>
        <v>2454.5534</v>
      </c>
      <c r="G19" s="653">
        <f>E19*F19</f>
        <v>0</v>
      </c>
      <c r="H19" s="728">
        <v>4.68</v>
      </c>
      <c r="I19" s="639">
        <f>2080.13*1.18</f>
        <v>2454.5534</v>
      </c>
      <c r="J19" s="642">
        <f>H19*I19</f>
        <v>11487.309911999999</v>
      </c>
      <c r="K19" s="728">
        <v>63.67</v>
      </c>
      <c r="L19" s="639">
        <f t="shared" si="0"/>
        <v>40.8162</v>
      </c>
      <c r="M19" s="655">
        <f>K19*L19</f>
        <v>2598.7674540000003</v>
      </c>
      <c r="N19" s="664">
        <f>G19+M19+J19</f>
        <v>14086.077366</v>
      </c>
      <c r="O19" s="635">
        <v>266.42</v>
      </c>
      <c r="P19" s="639">
        <f>14.29*1.18</f>
        <v>16.862199999999998</v>
      </c>
      <c r="Q19" s="655">
        <f>O19*P19</f>
        <v>4492.427323999999</v>
      </c>
      <c r="R19" s="635">
        <v>330.09</v>
      </c>
      <c r="S19" s="636">
        <f>14.31*1.18</f>
        <v>16.8858</v>
      </c>
      <c r="T19" s="657">
        <f>R19*S19</f>
        <v>5573.833721999999</v>
      </c>
      <c r="U19" s="652"/>
      <c r="V19" s="649"/>
      <c r="W19" s="655">
        <f>U19*V19</f>
        <v>0</v>
      </c>
      <c r="X19" s="644">
        <f>Q19+T19+W19</f>
        <v>10066.261046</v>
      </c>
      <c r="Y19" s="650">
        <f t="shared" si="2"/>
        <v>57794.108411999994</v>
      </c>
    </row>
    <row r="20" spans="1:25" s="617" customFormat="1" ht="12.75">
      <c r="A20" s="651" t="s">
        <v>1144</v>
      </c>
      <c r="B20" s="665">
        <v>6.201</v>
      </c>
      <c r="C20" s="648">
        <f>5500.67*1.18</f>
        <v>6490.790599999999</v>
      </c>
      <c r="D20" s="657">
        <f>B20*C20</f>
        <v>40249.392510599995</v>
      </c>
      <c r="E20" s="665">
        <v>0</v>
      </c>
      <c r="F20" s="646">
        <f>2080.13*1.18</f>
        <v>2454.5534</v>
      </c>
      <c r="G20" s="653">
        <f>E20*F20</f>
        <v>0</v>
      </c>
      <c r="H20" s="668">
        <v>11.47</v>
      </c>
      <c r="I20" s="639">
        <f>2080.13*1.18</f>
        <v>2454.5534</v>
      </c>
      <c r="J20" s="642">
        <f>H20*I20</f>
        <v>28153.727498</v>
      </c>
      <c r="K20" s="681">
        <v>163.75</v>
      </c>
      <c r="L20" s="639">
        <f t="shared" si="0"/>
        <v>40.8162</v>
      </c>
      <c r="M20" s="655">
        <f>K20*L20</f>
        <v>6683.65275</v>
      </c>
      <c r="N20" s="664">
        <f>G20+M20+J20</f>
        <v>34837.380248</v>
      </c>
      <c r="O20" s="665">
        <v>180.42</v>
      </c>
      <c r="P20" s="646">
        <f>14.29*1.18</f>
        <v>16.862199999999998</v>
      </c>
      <c r="Q20" s="657">
        <f>O20*P20</f>
        <v>3042.2781239999995</v>
      </c>
      <c r="R20" s="665">
        <v>344.17</v>
      </c>
      <c r="S20" s="648">
        <f aca="true" t="shared" si="4" ref="S20:S25">14.31*1.18</f>
        <v>16.8858</v>
      </c>
      <c r="T20" s="657">
        <f>R20*S20</f>
        <v>5811.585786000001</v>
      </c>
      <c r="U20" s="652"/>
      <c r="V20" s="649"/>
      <c r="W20" s="655">
        <f>U20*V20</f>
        <v>0</v>
      </c>
      <c r="X20" s="644">
        <f>Q20+T20+W20</f>
        <v>8853.86391</v>
      </c>
      <c r="Y20" s="650">
        <f t="shared" si="2"/>
        <v>83940.6366686</v>
      </c>
    </row>
    <row r="21" spans="1:25" s="617" customFormat="1" ht="12.75">
      <c r="A21" s="651" t="s">
        <v>1145</v>
      </c>
      <c r="B21" s="665">
        <v>6.191</v>
      </c>
      <c r="C21" s="648">
        <f>5500.67*1.18</f>
        <v>6490.790599999999</v>
      </c>
      <c r="D21" s="657">
        <f>B21*C21</f>
        <v>40184.484604599995</v>
      </c>
      <c r="E21" s="665">
        <v>0</v>
      </c>
      <c r="F21" s="646">
        <f>2080.13*1.18</f>
        <v>2454.5534</v>
      </c>
      <c r="G21" s="653">
        <f>E21*F21</f>
        <v>0</v>
      </c>
      <c r="H21" s="668">
        <v>46.15</v>
      </c>
      <c r="I21" s="639">
        <f>2080.13*1.18</f>
        <v>2454.5534</v>
      </c>
      <c r="J21" s="642">
        <f>H21*I21</f>
        <v>113277.63940999999</v>
      </c>
      <c r="K21" s="681">
        <v>96.19</v>
      </c>
      <c r="L21" s="639">
        <f t="shared" si="0"/>
        <v>40.8162</v>
      </c>
      <c r="M21" s="655">
        <f>K21*L21</f>
        <v>3926.110278</v>
      </c>
      <c r="N21" s="664">
        <f>G21+M21+J21</f>
        <v>117203.74968799998</v>
      </c>
      <c r="O21" s="665">
        <v>278.2</v>
      </c>
      <c r="P21" s="646">
        <f>14.29*1.18</f>
        <v>16.862199999999998</v>
      </c>
      <c r="Q21" s="657">
        <f>O21*P21</f>
        <v>4691.064039999999</v>
      </c>
      <c r="R21" s="665">
        <v>374.39</v>
      </c>
      <c r="S21" s="648">
        <f t="shared" si="4"/>
        <v>16.8858</v>
      </c>
      <c r="T21" s="657">
        <f>R21*S21</f>
        <v>6321.874661999999</v>
      </c>
      <c r="U21" s="652"/>
      <c r="V21" s="649"/>
      <c r="W21" s="655">
        <f>U21*V21</f>
        <v>0</v>
      </c>
      <c r="X21" s="644">
        <f>Q21+T21+W21</f>
        <v>11012.938702</v>
      </c>
      <c r="Y21" s="650">
        <f t="shared" si="2"/>
        <v>168401.17299459997</v>
      </c>
    </row>
    <row r="22" spans="1:25" s="617" customFormat="1" ht="22.5">
      <c r="A22" s="659" t="s">
        <v>1146</v>
      </c>
      <c r="B22" s="672">
        <f>B19+B20+B21</f>
        <v>17.575</v>
      </c>
      <c r="C22" s="674"/>
      <c r="D22" s="801">
        <f>D19+D20+D21</f>
        <v>114075.6471152</v>
      </c>
      <c r="E22" s="665">
        <f>E19+E20+E21</f>
        <v>0</v>
      </c>
      <c r="F22" s="668"/>
      <c r="G22" s="661">
        <f>G19+G20+G21</f>
        <v>0</v>
      </c>
      <c r="H22" s="668">
        <f>H19+H20+H21</f>
        <v>62.3</v>
      </c>
      <c r="I22" s="658"/>
      <c r="J22" s="642">
        <f>J19+J20+J21</f>
        <v>152918.67682</v>
      </c>
      <c r="K22" s="681">
        <f>K19+K20+K21</f>
        <v>323.61</v>
      </c>
      <c r="L22" s="639"/>
      <c r="M22" s="663">
        <f>M19+M20+M21</f>
        <v>13208.530482</v>
      </c>
      <c r="N22" s="680">
        <f>N19+N20+N21</f>
        <v>166127.20730199997</v>
      </c>
      <c r="O22" s="665">
        <f>O19+O20+O21</f>
        <v>725.04</v>
      </c>
      <c r="P22" s="666"/>
      <c r="Q22" s="667">
        <f>Q19+Q20+Q21</f>
        <v>12225.769487999998</v>
      </c>
      <c r="R22" s="665">
        <f>R19+R20+R21</f>
        <v>1048.65</v>
      </c>
      <c r="S22" s="668"/>
      <c r="T22" s="667">
        <f>T19+T20+T21</f>
        <v>17707.294169999997</v>
      </c>
      <c r="U22" s="652">
        <f>U19+U20+U21</f>
        <v>0</v>
      </c>
      <c r="V22" s="658"/>
      <c r="W22" s="663">
        <f>W19+W20+W21</f>
        <v>0</v>
      </c>
      <c r="X22" s="669">
        <f>X19+X20+X21</f>
        <v>29933.063658</v>
      </c>
      <c r="Y22" s="670">
        <f>Y19+Y20+Y21</f>
        <v>310135.91807519994</v>
      </c>
    </row>
    <row r="23" spans="1:25" s="617" customFormat="1" ht="12.75">
      <c r="A23" s="651" t="s">
        <v>1147</v>
      </c>
      <c r="B23" s="645">
        <v>6.144</v>
      </c>
      <c r="C23" s="648">
        <f>5500.67*1.18</f>
        <v>6490.790599999999</v>
      </c>
      <c r="D23" s="657">
        <f>B23*C23</f>
        <v>39879.417446399995</v>
      </c>
      <c r="E23" s="665">
        <v>40.15</v>
      </c>
      <c r="F23" s="646">
        <f>2080.13*1.18</f>
        <v>2454.5534</v>
      </c>
      <c r="G23" s="653">
        <f>E23*F23</f>
        <v>98550.31900999999</v>
      </c>
      <c r="H23" s="668">
        <v>7.53</v>
      </c>
      <c r="I23" s="639">
        <f>2080.13*1.18</f>
        <v>2454.5534</v>
      </c>
      <c r="J23" s="642">
        <f>H23*I23</f>
        <v>18482.787102</v>
      </c>
      <c r="K23" s="730">
        <v>123.99</v>
      </c>
      <c r="L23" s="639">
        <f t="shared" si="0"/>
        <v>40.8162</v>
      </c>
      <c r="M23" s="655">
        <f>K23*L23</f>
        <v>5060.800638</v>
      </c>
      <c r="N23" s="664">
        <f>G23+M23+J23</f>
        <v>122093.90675</v>
      </c>
      <c r="O23" s="645">
        <v>72.41</v>
      </c>
      <c r="P23" s="646">
        <f>14.29*1.18</f>
        <v>16.862199999999998</v>
      </c>
      <c r="Q23" s="657">
        <f>O23*P23</f>
        <v>1220.9919019999998</v>
      </c>
      <c r="R23" s="645">
        <v>196.4</v>
      </c>
      <c r="S23" s="648">
        <f t="shared" si="4"/>
        <v>16.8858</v>
      </c>
      <c r="T23" s="657">
        <f>R23*S23</f>
        <v>3316.3711200000002</v>
      </c>
      <c r="U23" s="652"/>
      <c r="V23" s="649"/>
      <c r="W23" s="655">
        <f>U23*V23</f>
        <v>0</v>
      </c>
      <c r="X23" s="644">
        <f>Q23+T23+W23</f>
        <v>4537.363022</v>
      </c>
      <c r="Y23" s="650">
        <f t="shared" si="2"/>
        <v>166510.6872184</v>
      </c>
    </row>
    <row r="24" spans="1:25" s="617" customFormat="1" ht="12.75">
      <c r="A24" s="682" t="s">
        <v>1148</v>
      </c>
      <c r="B24" s="665">
        <v>5.628</v>
      </c>
      <c r="C24" s="648">
        <f>5500.67*1.18</f>
        <v>6490.790599999999</v>
      </c>
      <c r="D24" s="657">
        <f>B24*C24</f>
        <v>36530.169496799994</v>
      </c>
      <c r="E24" s="665">
        <v>57.13</v>
      </c>
      <c r="F24" s="646">
        <f>2080.13*1.18</f>
        <v>2454.5534</v>
      </c>
      <c r="G24" s="653">
        <f>E24*F24</f>
        <v>140228.63574199998</v>
      </c>
      <c r="H24" s="668">
        <v>7.87</v>
      </c>
      <c r="I24" s="639">
        <f>2080.13*1.18</f>
        <v>2454.5534</v>
      </c>
      <c r="J24" s="642">
        <f>H24*I24</f>
        <v>19317.335258</v>
      </c>
      <c r="K24" s="681">
        <v>113.6</v>
      </c>
      <c r="L24" s="639">
        <f t="shared" si="0"/>
        <v>40.8162</v>
      </c>
      <c r="M24" s="655">
        <f>K24*L24</f>
        <v>4636.72032</v>
      </c>
      <c r="N24" s="664">
        <f>G24+M24+J24</f>
        <v>164182.69131999998</v>
      </c>
      <c r="O24" s="665">
        <v>438.14</v>
      </c>
      <c r="P24" s="646">
        <f>14.29*1.18</f>
        <v>16.862199999999998</v>
      </c>
      <c r="Q24" s="657">
        <f>O24*P24</f>
        <v>7388.004307999999</v>
      </c>
      <c r="R24" s="665">
        <v>551.74</v>
      </c>
      <c r="S24" s="648">
        <f t="shared" si="4"/>
        <v>16.8858</v>
      </c>
      <c r="T24" s="657">
        <f>R24*S24</f>
        <v>9316.571292</v>
      </c>
      <c r="U24" s="652"/>
      <c r="V24" s="649"/>
      <c r="W24" s="655">
        <f>U24*V24</f>
        <v>0</v>
      </c>
      <c r="X24" s="644">
        <f>Q24+T24+W24</f>
        <v>16704.5756</v>
      </c>
      <c r="Y24" s="650">
        <f t="shared" si="2"/>
        <v>217417.4364168</v>
      </c>
    </row>
    <row r="25" spans="1:25" s="617" customFormat="1" ht="12.75">
      <c r="A25" s="684" t="s">
        <v>1149</v>
      </c>
      <c r="B25" s="665">
        <v>6.478</v>
      </c>
      <c r="C25" s="648">
        <f>5500.67*1.18</f>
        <v>6490.790599999999</v>
      </c>
      <c r="D25" s="657">
        <f>B25*C25</f>
        <v>42047.341506799996</v>
      </c>
      <c r="E25" s="665">
        <v>71.78</v>
      </c>
      <c r="F25" s="646">
        <f>2080.13*1.18</f>
        <v>2454.5534</v>
      </c>
      <c r="G25" s="653">
        <f>E25*F25</f>
        <v>176187.84305199998</v>
      </c>
      <c r="H25" s="668">
        <v>10.05</v>
      </c>
      <c r="I25" s="639">
        <f>2080.13*1.18</f>
        <v>2454.5534</v>
      </c>
      <c r="J25" s="642">
        <f>H25*I25</f>
        <v>24668.26167</v>
      </c>
      <c r="K25" s="681">
        <v>170.11</v>
      </c>
      <c r="L25" s="639">
        <f t="shared" si="0"/>
        <v>40.8162</v>
      </c>
      <c r="M25" s="655">
        <f>K25*L25</f>
        <v>6943.2437820000005</v>
      </c>
      <c r="N25" s="664">
        <f>G25+M25+J25</f>
        <v>207799.348504</v>
      </c>
      <c r="O25" s="665">
        <v>219.57</v>
      </c>
      <c r="P25" s="646">
        <f>14.29*1.18</f>
        <v>16.862199999999998</v>
      </c>
      <c r="Q25" s="657">
        <f>O25*P25</f>
        <v>3702.4332539999996</v>
      </c>
      <c r="R25" s="665">
        <v>389.68</v>
      </c>
      <c r="S25" s="648">
        <f t="shared" si="4"/>
        <v>16.8858</v>
      </c>
      <c r="T25" s="657">
        <f>R25*S25</f>
        <v>6580.058544</v>
      </c>
      <c r="U25" s="652"/>
      <c r="V25" s="649"/>
      <c r="W25" s="655">
        <f>U25*V25</f>
        <v>0</v>
      </c>
      <c r="X25" s="644">
        <f>Q25+T25+W25</f>
        <v>10282.491798</v>
      </c>
      <c r="Y25" s="650">
        <f t="shared" si="2"/>
        <v>260129.1818088</v>
      </c>
    </row>
    <row r="26" spans="1:25" s="617" customFormat="1" ht="23.25" thickBot="1">
      <c r="A26" s="685" t="s">
        <v>1150</v>
      </c>
      <c r="B26" s="800">
        <f>B23+B24+B25</f>
        <v>18.25</v>
      </c>
      <c r="C26" s="694"/>
      <c r="D26" s="802">
        <f>D23+D24+D25</f>
        <v>118456.92844999998</v>
      </c>
      <c r="E26" s="693">
        <f>E23+E24+E25</f>
        <v>169.06</v>
      </c>
      <c r="F26" s="694"/>
      <c r="G26" s="690">
        <f>G23+G24+G25</f>
        <v>414966.797804</v>
      </c>
      <c r="H26" s="668">
        <f>H23+H24+H25</f>
        <v>25.450000000000003</v>
      </c>
      <c r="I26" s="658"/>
      <c r="J26" s="642">
        <f>J23+J24+J25</f>
        <v>62468.384029999994</v>
      </c>
      <c r="K26" s="744">
        <f>K23+K24+K25</f>
        <v>407.7</v>
      </c>
      <c r="L26" s="687"/>
      <c r="M26" s="691">
        <f>M23+M24+M25</f>
        <v>16640.764740000002</v>
      </c>
      <c r="N26" s="692">
        <f>N23+N24+N25</f>
        <v>494075.94657399994</v>
      </c>
      <c r="O26" s="693">
        <f>O23+O24+O25</f>
        <v>730.1199999999999</v>
      </c>
      <c r="P26" s="694"/>
      <c r="Q26" s="695">
        <f>Q23+Q24+Q25</f>
        <v>12311.429463999997</v>
      </c>
      <c r="R26" s="693">
        <f>R23+R24+R25</f>
        <v>1137.82</v>
      </c>
      <c r="S26" s="694"/>
      <c r="T26" s="695">
        <f>T23+T24+T25</f>
        <v>19213.000956</v>
      </c>
      <c r="U26" s="689">
        <f>U23+U24+U25</f>
        <v>0</v>
      </c>
      <c r="V26" s="687"/>
      <c r="W26" s="691">
        <f>W23+W24+W25</f>
        <v>0</v>
      </c>
      <c r="X26" s="696">
        <f>X23+X24+X25</f>
        <v>31524.43042</v>
      </c>
      <c r="Y26" s="697">
        <f>Y23+Y24+Y25</f>
        <v>644057.3054439999</v>
      </c>
    </row>
    <row r="27" spans="1:25" s="617" customFormat="1" ht="13.5" thickBot="1">
      <c r="A27" s="698" t="s">
        <v>695</v>
      </c>
      <c r="B27" s="699">
        <f>B26+B22+B18+B14</f>
        <v>70.287</v>
      </c>
      <c r="C27" s="699">
        <f>D27/B27</f>
        <v>6414.44142087726</v>
      </c>
      <c r="D27" s="699">
        <f>D26+D22+D18+D14</f>
        <v>450851.84414919995</v>
      </c>
      <c r="E27" s="699">
        <f>E26+E22+E18+E14</f>
        <v>353.79</v>
      </c>
      <c r="F27" s="699">
        <f>G27/E27</f>
        <v>2454.5533999999993</v>
      </c>
      <c r="G27" s="699">
        <f>G26+G22+G18+G14</f>
        <v>868396.4473859998</v>
      </c>
      <c r="H27" s="700">
        <f>H14+H18+H22+H26</f>
        <v>130.72</v>
      </c>
      <c r="I27" s="700">
        <f>J27/H27</f>
        <v>2410.839916829865</v>
      </c>
      <c r="J27" s="700">
        <f>J14+J18+J22+J26</f>
        <v>315144.993928</v>
      </c>
      <c r="K27" s="699">
        <f>K26+K22+K18+K14</f>
        <v>1370.8</v>
      </c>
      <c r="L27" s="699">
        <f>M27/K27</f>
        <v>40.81619262766267</v>
      </c>
      <c r="M27" s="699">
        <f>M26+M22+M18+M14</f>
        <v>55950.836853999994</v>
      </c>
      <c r="N27" s="699">
        <f>N26+N22+N18+N14</f>
        <v>1239492.2781679998</v>
      </c>
      <c r="O27" s="701">
        <f>O26+O22+O18+O14</f>
        <v>2755.85</v>
      </c>
      <c r="P27" s="701">
        <f>Q27/O27</f>
        <v>17.02889953807355</v>
      </c>
      <c r="Q27" s="701">
        <f>Q26+Q22+Q18+Q14</f>
        <v>46929.09279199999</v>
      </c>
      <c r="R27" s="701">
        <f>R26+R22+R18+R14</f>
        <v>4216.9400000000005</v>
      </c>
      <c r="S27" s="701">
        <f>T27/R27</f>
        <v>16.8858</v>
      </c>
      <c r="T27" s="701">
        <f>T26+T22+T18+T14</f>
        <v>71206.405452</v>
      </c>
      <c r="U27" s="699">
        <f>U26+U22+U18+U14</f>
        <v>0</v>
      </c>
      <c r="V27" s="699"/>
      <c r="W27" s="699">
        <f>W26+W22+W18+W14</f>
        <v>0</v>
      </c>
      <c r="X27" s="699">
        <f>X26+X22+X18+X14</f>
        <v>118135.498244</v>
      </c>
      <c r="Y27" s="699">
        <f>Y26+Y22+Y18+Y14</f>
        <v>1808479.6205611997</v>
      </c>
    </row>
    <row r="28" spans="15:20" s="617" customFormat="1" ht="12.75">
      <c r="O28" s="496"/>
      <c r="P28" s="496"/>
      <c r="Q28" s="496"/>
      <c r="R28" s="496"/>
      <c r="S28" s="496"/>
      <c r="T28" s="496"/>
    </row>
    <row r="31" spans="1:20" ht="16.5" hidden="1" thickBot="1">
      <c r="A31" s="897" t="s">
        <v>1160</v>
      </c>
      <c r="B31" s="898"/>
      <c r="C31" s="898"/>
      <c r="D31" s="898"/>
      <c r="E31" s="898"/>
      <c r="F31" s="898"/>
      <c r="G31" s="898"/>
      <c r="H31" s="898"/>
      <c r="I31" s="898"/>
      <c r="J31" s="898"/>
      <c r="K31" s="898"/>
      <c r="L31" s="898"/>
      <c r="M31" s="898"/>
      <c r="N31" s="898"/>
      <c r="O31" s="898"/>
      <c r="P31" s="898"/>
      <c r="Q31" s="898"/>
      <c r="R31" s="898"/>
      <c r="S31" s="899"/>
      <c r="T31" s="496"/>
    </row>
    <row r="32" spans="1:20" ht="13.5" hidden="1" thickBot="1">
      <c r="A32" s="900" t="s">
        <v>1118</v>
      </c>
      <c r="B32" s="864" t="s">
        <v>1119</v>
      </c>
      <c r="C32" s="865"/>
      <c r="D32" s="867"/>
      <c r="E32" s="905" t="s">
        <v>1120</v>
      </c>
      <c r="F32" s="906"/>
      <c r="G32" s="906"/>
      <c r="H32" s="906"/>
      <c r="I32" s="906"/>
      <c r="J32" s="907"/>
      <c r="K32" s="908" t="s">
        <v>1121</v>
      </c>
      <c r="L32" s="910" t="s">
        <v>1122</v>
      </c>
      <c r="M32" s="911"/>
      <c r="N32" s="912"/>
      <c r="O32" s="916" t="s">
        <v>1123</v>
      </c>
      <c r="P32" s="917"/>
      <c r="Q32" s="917"/>
      <c r="R32" s="908" t="s">
        <v>1124</v>
      </c>
      <c r="S32" s="918" t="s">
        <v>1125</v>
      </c>
      <c r="T32" s="496"/>
    </row>
    <row r="33" spans="1:20" ht="15.75" customHeight="1" hidden="1" thickBot="1">
      <c r="A33" s="901"/>
      <c r="B33" s="870" t="s">
        <v>1126</v>
      </c>
      <c r="C33" s="871"/>
      <c r="D33" s="872"/>
      <c r="E33" s="920" t="s">
        <v>1120</v>
      </c>
      <c r="F33" s="921"/>
      <c r="G33" s="922"/>
      <c r="H33" s="923" t="s">
        <v>1161</v>
      </c>
      <c r="I33" s="924"/>
      <c r="J33" s="925"/>
      <c r="K33" s="909"/>
      <c r="L33" s="913"/>
      <c r="M33" s="914"/>
      <c r="N33" s="915"/>
      <c r="O33" s="876" t="s">
        <v>654</v>
      </c>
      <c r="P33" s="877"/>
      <c r="Q33" s="878"/>
      <c r="R33" s="909"/>
      <c r="S33" s="919"/>
      <c r="T33" s="496"/>
    </row>
    <row r="34" spans="1:20" ht="21" hidden="1">
      <c r="A34" s="901"/>
      <c r="B34" s="721" t="s">
        <v>1162</v>
      </c>
      <c r="C34" s="619" t="s">
        <v>1131</v>
      </c>
      <c r="D34" s="722" t="s">
        <v>295</v>
      </c>
      <c r="E34" s="721" t="s">
        <v>1132</v>
      </c>
      <c r="F34" s="723" t="s">
        <v>1133</v>
      </c>
      <c r="G34" s="724" t="s">
        <v>295</v>
      </c>
      <c r="H34" s="721" t="s">
        <v>1134</v>
      </c>
      <c r="I34" s="723" t="s">
        <v>1133</v>
      </c>
      <c r="J34" s="724" t="s">
        <v>295</v>
      </c>
      <c r="K34" s="909"/>
      <c r="L34" s="628" t="s">
        <v>1134</v>
      </c>
      <c r="M34" s="629" t="s">
        <v>1133</v>
      </c>
      <c r="N34" s="725" t="s">
        <v>295</v>
      </c>
      <c r="O34" s="625" t="s">
        <v>1134</v>
      </c>
      <c r="P34" s="626" t="s">
        <v>1133</v>
      </c>
      <c r="Q34" s="627" t="s">
        <v>295</v>
      </c>
      <c r="R34" s="909"/>
      <c r="S34" s="919"/>
      <c r="T34" s="496"/>
    </row>
    <row r="35" spans="1:20" s="727" customFormat="1" ht="9" hidden="1">
      <c r="A35" s="631">
        <v>1</v>
      </c>
      <c r="B35" s="631">
        <v>2</v>
      </c>
      <c r="C35" s="631">
        <v>3</v>
      </c>
      <c r="D35" s="631">
        <v>4</v>
      </c>
      <c r="E35" s="632">
        <v>6</v>
      </c>
      <c r="F35" s="632">
        <v>7</v>
      </c>
      <c r="G35" s="632">
        <v>8</v>
      </c>
      <c r="H35" s="632">
        <v>9</v>
      </c>
      <c r="I35" s="632">
        <v>10</v>
      </c>
      <c r="J35" s="632">
        <v>11</v>
      </c>
      <c r="K35" s="632">
        <v>12</v>
      </c>
      <c r="L35" s="631">
        <v>13</v>
      </c>
      <c r="M35" s="631">
        <v>14</v>
      </c>
      <c r="N35" s="631">
        <v>15</v>
      </c>
      <c r="O35" s="632">
        <v>16</v>
      </c>
      <c r="P35" s="632">
        <v>17</v>
      </c>
      <c r="Q35" s="632">
        <v>18</v>
      </c>
      <c r="R35" s="632">
        <v>19</v>
      </c>
      <c r="S35" s="632">
        <v>20</v>
      </c>
      <c r="T35" s="726"/>
    </row>
    <row r="36" spans="1:20" ht="12.75" hidden="1">
      <c r="A36" s="634" t="s">
        <v>1135</v>
      </c>
      <c r="B36" s="728">
        <v>5.769</v>
      </c>
      <c r="C36" s="729">
        <v>5580.279</v>
      </c>
      <c r="D36" s="637">
        <f>ROUND((B36*C36),3)</f>
        <v>32192.63</v>
      </c>
      <c r="E36" s="730">
        <v>20.18</v>
      </c>
      <c r="F36" s="731">
        <v>1299.026</v>
      </c>
      <c r="G36" s="647">
        <v>26214.35</v>
      </c>
      <c r="H36" s="730">
        <v>81.85</v>
      </c>
      <c r="I36" s="731">
        <f>26.85*1.18</f>
        <v>31.683</v>
      </c>
      <c r="J36" s="647">
        <v>2593.25</v>
      </c>
      <c r="K36" s="677">
        <f>G36+J36</f>
        <v>28807.6</v>
      </c>
      <c r="L36" s="635">
        <v>279.92</v>
      </c>
      <c r="M36" s="729">
        <v>14.4196</v>
      </c>
      <c r="N36" s="637">
        <f>ROUND((L36*M36),3)</f>
        <v>4036.334</v>
      </c>
      <c r="O36" s="645">
        <v>381.05</v>
      </c>
      <c r="P36" s="731">
        <v>15.517</v>
      </c>
      <c r="Q36" s="647">
        <f>ROUND((O36*P36)+0.01,3)</f>
        <v>5912.763</v>
      </c>
      <c r="R36" s="677">
        <f>N36+Q36</f>
        <v>9949.097</v>
      </c>
      <c r="S36" s="678">
        <f>D36+K36+R36</f>
        <v>70949.32699999999</v>
      </c>
      <c r="T36" s="496"/>
    </row>
    <row r="37" spans="1:20" ht="12.75" hidden="1">
      <c r="A37" s="651" t="s">
        <v>1136</v>
      </c>
      <c r="B37" s="652">
        <v>6.207</v>
      </c>
      <c r="C37" s="729">
        <v>5819.217</v>
      </c>
      <c r="D37" s="637">
        <f>ROUND((B37*C37),3)</f>
        <v>36119.88</v>
      </c>
      <c r="E37" s="681">
        <v>61.49</v>
      </c>
      <c r="F37" s="732">
        <f>F36</f>
        <v>1299.026</v>
      </c>
      <c r="G37" s="647">
        <v>79877.15</v>
      </c>
      <c r="H37" s="681">
        <v>102.98</v>
      </c>
      <c r="I37" s="732">
        <v>31.682</v>
      </c>
      <c r="J37" s="647">
        <v>3262.71</v>
      </c>
      <c r="K37" s="675">
        <f>G37+J37</f>
        <v>83139.86</v>
      </c>
      <c r="L37" s="652">
        <v>193.73</v>
      </c>
      <c r="M37" s="729">
        <v>14.4196</v>
      </c>
      <c r="N37" s="637">
        <f>ROUND((L37*M37),3)</f>
        <v>2793.509</v>
      </c>
      <c r="O37" s="665">
        <v>296.71</v>
      </c>
      <c r="P37" s="732">
        <f>P36</f>
        <v>15.517</v>
      </c>
      <c r="Q37" s="647">
        <f>ROUND((O37*P37),3)</f>
        <v>4604.049</v>
      </c>
      <c r="R37" s="677">
        <f>N37+Q37</f>
        <v>7397.558</v>
      </c>
      <c r="S37" s="678">
        <f>D37+K37+R37</f>
        <v>126657.298</v>
      </c>
      <c r="T37" s="496"/>
    </row>
    <row r="38" spans="1:20" ht="12.75" hidden="1">
      <c r="A38" s="651" t="s">
        <v>1137</v>
      </c>
      <c r="B38" s="652">
        <v>5.685</v>
      </c>
      <c r="C38" s="729">
        <v>5585.116</v>
      </c>
      <c r="D38" s="637">
        <f>ROUND((B38*C38)+0.01,3)</f>
        <v>31751.394</v>
      </c>
      <c r="E38" s="681">
        <v>48.19</v>
      </c>
      <c r="F38" s="732">
        <f>F36</f>
        <v>1299.026</v>
      </c>
      <c r="G38" s="647">
        <v>62600.09</v>
      </c>
      <c r="H38" s="681">
        <v>111.02</v>
      </c>
      <c r="I38" s="732">
        <v>31.682</v>
      </c>
      <c r="J38" s="647">
        <v>3517.44</v>
      </c>
      <c r="K38" s="675">
        <f>G38+J38</f>
        <v>66117.53</v>
      </c>
      <c r="L38" s="652">
        <v>164.1</v>
      </c>
      <c r="M38" s="729">
        <v>14.4117</v>
      </c>
      <c r="N38" s="637">
        <f>ROUND((L38*M38),3)</f>
        <v>2364.96</v>
      </c>
      <c r="O38" s="665">
        <v>276.43</v>
      </c>
      <c r="P38" s="732">
        <f>P36</f>
        <v>15.517</v>
      </c>
      <c r="Q38" s="647">
        <f>ROUND((O38*P38),3)</f>
        <v>4289.364</v>
      </c>
      <c r="R38" s="677">
        <f>N38+Q38</f>
        <v>6654.324</v>
      </c>
      <c r="S38" s="678">
        <f>D38+K38+R38</f>
        <v>104523.24799999999</v>
      </c>
      <c r="T38" s="496"/>
    </row>
    <row r="39" spans="1:20" ht="33.75" hidden="1">
      <c r="A39" s="659" t="s">
        <v>1138</v>
      </c>
      <c r="B39" s="733">
        <f>B36+B37+B38</f>
        <v>17.660999999999998</v>
      </c>
      <c r="C39" s="734"/>
      <c r="D39" s="655">
        <f>D36+D37+D38</f>
        <v>100063.904</v>
      </c>
      <c r="E39" s="681">
        <f>E36+E37+E38</f>
        <v>129.86</v>
      </c>
      <c r="F39" s="735"/>
      <c r="G39" s="736">
        <f>G36+G37+G38</f>
        <v>168691.59</v>
      </c>
      <c r="H39" s="681">
        <f>H36+H37+H38</f>
        <v>295.84999999999997</v>
      </c>
      <c r="I39" s="735"/>
      <c r="J39" s="667">
        <f>J36+J37+J38</f>
        <v>9373.4</v>
      </c>
      <c r="K39" s="675">
        <f>K36+K37+K38</f>
        <v>178064.99</v>
      </c>
      <c r="L39" s="733">
        <f>L36+L37+L38</f>
        <v>637.75</v>
      </c>
      <c r="M39" s="734"/>
      <c r="N39" s="663">
        <f>N36+N37+N38</f>
        <v>9194.803</v>
      </c>
      <c r="O39" s="681">
        <f>O36+O37+O38</f>
        <v>954.19</v>
      </c>
      <c r="P39" s="735"/>
      <c r="Q39" s="667">
        <f>Q36+Q37+Q38</f>
        <v>14806.176</v>
      </c>
      <c r="R39" s="737">
        <f>R36+R37+R38</f>
        <v>24000.979</v>
      </c>
      <c r="S39" s="738">
        <f>S36+S37+S38</f>
        <v>302129.873</v>
      </c>
      <c r="T39" s="496"/>
    </row>
    <row r="40" spans="1:20" ht="12.75" hidden="1">
      <c r="A40" s="651" t="s">
        <v>1139</v>
      </c>
      <c r="B40" s="635">
        <v>6.045</v>
      </c>
      <c r="C40" s="739">
        <v>5476.38</v>
      </c>
      <c r="D40" s="637">
        <f>ROUND((B40*C40),3)</f>
        <v>33104.717</v>
      </c>
      <c r="E40" s="730">
        <v>52.73</v>
      </c>
      <c r="F40" s="732">
        <f>F36</f>
        <v>1299.026</v>
      </c>
      <c r="G40" s="647">
        <v>68497.67</v>
      </c>
      <c r="H40" s="730">
        <v>142.41</v>
      </c>
      <c r="I40" s="732">
        <v>31.683</v>
      </c>
      <c r="J40" s="647">
        <v>4511.98</v>
      </c>
      <c r="K40" s="675">
        <f>G40+J40</f>
        <v>73009.65</v>
      </c>
      <c r="L40" s="635">
        <v>213.49</v>
      </c>
      <c r="M40" s="739">
        <f>M36</f>
        <v>14.4196</v>
      </c>
      <c r="N40" s="637">
        <f>ROUND((L40*M40),3)</f>
        <v>3078.44</v>
      </c>
      <c r="O40" s="645">
        <v>361.97</v>
      </c>
      <c r="P40" s="732">
        <f>P36</f>
        <v>15.517</v>
      </c>
      <c r="Q40" s="647">
        <f>ROUND((O40*P40),3)</f>
        <v>5616.688</v>
      </c>
      <c r="R40" s="677">
        <f>N40+Q40</f>
        <v>8695.128</v>
      </c>
      <c r="S40" s="678">
        <f>D40+K40+R40</f>
        <v>114809.495</v>
      </c>
      <c r="T40" s="496"/>
    </row>
    <row r="41" spans="1:20" ht="12.75" hidden="1">
      <c r="A41" s="651" t="s">
        <v>1140</v>
      </c>
      <c r="B41" s="652">
        <v>5.119</v>
      </c>
      <c r="C41" s="739">
        <v>5274.233</v>
      </c>
      <c r="D41" s="637">
        <f>ROUND((B41*C41),3)</f>
        <v>26998.799</v>
      </c>
      <c r="E41" s="730">
        <v>42.21</v>
      </c>
      <c r="F41" s="732">
        <f>F37</f>
        <v>1299.026</v>
      </c>
      <c r="G41" s="647">
        <v>54831.91</v>
      </c>
      <c r="H41" s="681">
        <v>134.3</v>
      </c>
      <c r="I41" s="732">
        <v>31.683</v>
      </c>
      <c r="J41" s="647">
        <v>4255.03</v>
      </c>
      <c r="K41" s="675">
        <f>G41+J41</f>
        <v>59086.94</v>
      </c>
      <c r="L41" s="652">
        <v>195.23</v>
      </c>
      <c r="M41" s="739">
        <f>M37</f>
        <v>14.4196</v>
      </c>
      <c r="N41" s="637">
        <f>ROUND((L41*M41),3)</f>
        <v>2815.139</v>
      </c>
      <c r="O41" s="665">
        <v>333.1</v>
      </c>
      <c r="P41" s="732">
        <f>P37</f>
        <v>15.517</v>
      </c>
      <c r="Q41" s="647">
        <f>ROUND((O41*P41)+0.01,3)</f>
        <v>5168.723</v>
      </c>
      <c r="R41" s="677">
        <f>N41+Q41</f>
        <v>7983.862</v>
      </c>
      <c r="S41" s="678">
        <f>D41+K41+R41</f>
        <v>94069.601</v>
      </c>
      <c r="T41" s="496"/>
    </row>
    <row r="42" spans="1:20" ht="12.75" hidden="1">
      <c r="A42" s="651" t="s">
        <v>1141</v>
      </c>
      <c r="B42" s="652">
        <v>5.867</v>
      </c>
      <c r="C42" s="739">
        <v>5123.287</v>
      </c>
      <c r="D42" s="637">
        <f>ROUND((B42*C42),3)</f>
        <v>30058.325</v>
      </c>
      <c r="E42" s="730">
        <v>10.09</v>
      </c>
      <c r="F42" s="732">
        <f>F38</f>
        <v>1299.026</v>
      </c>
      <c r="G42" s="647">
        <v>13107.18</v>
      </c>
      <c r="H42" s="681">
        <v>126.99</v>
      </c>
      <c r="I42" s="732">
        <f>I38</f>
        <v>31.682</v>
      </c>
      <c r="J42" s="647">
        <v>4023.42</v>
      </c>
      <c r="K42" s="675">
        <f>G42+J42</f>
        <v>17130.6</v>
      </c>
      <c r="L42" s="652">
        <v>254.22</v>
      </c>
      <c r="M42" s="739">
        <v>14.4196</v>
      </c>
      <c r="N42" s="637">
        <f>ROUND((L42*M42),3)</f>
        <v>3665.751</v>
      </c>
      <c r="O42" s="665">
        <v>381.21</v>
      </c>
      <c r="P42" s="732">
        <f>P38</f>
        <v>15.517</v>
      </c>
      <c r="Q42" s="647">
        <f>ROUND((O42*P42)-0.01,3)</f>
        <v>5915.226</v>
      </c>
      <c r="R42" s="677">
        <f>N42+Q42</f>
        <v>9580.976999999999</v>
      </c>
      <c r="S42" s="678">
        <f>D42+K42+R42</f>
        <v>56769.902</v>
      </c>
      <c r="T42" s="496"/>
    </row>
    <row r="43" spans="1:20" ht="33.75" hidden="1">
      <c r="A43" s="659" t="s">
        <v>1142</v>
      </c>
      <c r="B43" s="733">
        <f>B40+B41+B42</f>
        <v>17.031</v>
      </c>
      <c r="C43" s="734"/>
      <c r="D43" s="740">
        <f>D40+D41+D42</f>
        <v>90161.841</v>
      </c>
      <c r="E43" s="681">
        <f>E40+E41+E42</f>
        <v>105.03</v>
      </c>
      <c r="F43" s="735"/>
      <c r="G43" s="736">
        <f>G40+G41+G42</f>
        <v>136436.76</v>
      </c>
      <c r="H43" s="681">
        <f>H40+H41+H42</f>
        <v>403.70000000000005</v>
      </c>
      <c r="I43" s="735"/>
      <c r="J43" s="667">
        <f>J40+J41+J42</f>
        <v>12790.429999999998</v>
      </c>
      <c r="K43" s="741">
        <f>K40+K41+K42</f>
        <v>149227.19</v>
      </c>
      <c r="L43" s="733">
        <f>L40+L41+L42</f>
        <v>662.94</v>
      </c>
      <c r="M43" s="734"/>
      <c r="N43" s="663">
        <f>N40+N41+N42</f>
        <v>9559.33</v>
      </c>
      <c r="O43" s="681">
        <f>O40+O41+O42</f>
        <v>1076.28</v>
      </c>
      <c r="P43" s="735"/>
      <c r="Q43" s="667">
        <f>Q40+Q41+Q42</f>
        <v>16700.637</v>
      </c>
      <c r="R43" s="737">
        <f>R40+R41+R42</f>
        <v>26259.967</v>
      </c>
      <c r="S43" s="738">
        <f>S40+S41+S42</f>
        <v>265648.998</v>
      </c>
      <c r="T43" s="496"/>
    </row>
    <row r="44" spans="1:20" ht="12.75" hidden="1">
      <c r="A44" s="651" t="s">
        <v>1143</v>
      </c>
      <c r="B44" s="635">
        <v>5.183</v>
      </c>
      <c r="C44" s="739">
        <v>5968.005</v>
      </c>
      <c r="D44" s="637">
        <f>ROUND((B44*C44),3)</f>
        <v>30932.17</v>
      </c>
      <c r="E44" s="730">
        <v>4.68</v>
      </c>
      <c r="F44" s="732">
        <v>1719.555</v>
      </c>
      <c r="G44" s="647">
        <v>8048.46</v>
      </c>
      <c r="H44" s="730">
        <v>63.67</v>
      </c>
      <c r="I44" s="732">
        <v>41.288</v>
      </c>
      <c r="J44" s="647">
        <v>2628.82</v>
      </c>
      <c r="K44" s="675">
        <f>G44+J44</f>
        <v>10677.28</v>
      </c>
      <c r="L44" s="635">
        <v>266.42</v>
      </c>
      <c r="M44" s="803">
        <v>15.0128</v>
      </c>
      <c r="N44" s="637">
        <f>ROUND((L44*M44)+0.01,3)</f>
        <v>3999.72</v>
      </c>
      <c r="O44" s="645">
        <v>330.09</v>
      </c>
      <c r="P44" s="732">
        <v>16.1424</v>
      </c>
      <c r="Q44" s="647">
        <f>ROUND((O44*P44)-0.01,3)</f>
        <v>5328.435</v>
      </c>
      <c r="R44" s="677">
        <f>N44+Q44</f>
        <v>9328.155</v>
      </c>
      <c r="S44" s="678">
        <f>ROUND(D44+K44+R44,1)</f>
        <v>50937.6</v>
      </c>
      <c r="T44" s="496"/>
    </row>
    <row r="45" spans="1:20" ht="12.75" hidden="1">
      <c r="A45" s="651" t="s">
        <v>1144</v>
      </c>
      <c r="B45" s="652">
        <v>6.201</v>
      </c>
      <c r="C45" s="739">
        <v>5988.535</v>
      </c>
      <c r="D45" s="637">
        <f>ROUND((B45*C45),3)</f>
        <v>37134.906</v>
      </c>
      <c r="E45" s="730">
        <v>11.47</v>
      </c>
      <c r="F45" s="732">
        <v>1719.755</v>
      </c>
      <c r="G45" s="647">
        <v>19725.6</v>
      </c>
      <c r="H45" s="681">
        <v>163.75</v>
      </c>
      <c r="I45" s="732">
        <v>41.288</v>
      </c>
      <c r="J45" s="647">
        <v>6760.94</v>
      </c>
      <c r="K45" s="675">
        <f>G45+J45</f>
        <v>26486.539999999997</v>
      </c>
      <c r="L45" s="652">
        <v>180.42</v>
      </c>
      <c r="M45" s="739">
        <v>14.9978</v>
      </c>
      <c r="N45" s="637">
        <f>ROUND((L45*M45)+0.01,3)</f>
        <v>2705.913</v>
      </c>
      <c r="O45" s="665">
        <v>344.17</v>
      </c>
      <c r="P45" s="732">
        <v>16.1425</v>
      </c>
      <c r="Q45" s="647">
        <f>ROUND((O45*P45)-0.02,3)</f>
        <v>5555.744</v>
      </c>
      <c r="R45" s="677">
        <f>N45+Q45</f>
        <v>8261.657</v>
      </c>
      <c r="S45" s="678">
        <f>D45+K45+R45</f>
        <v>71883.103</v>
      </c>
      <c r="T45" s="496"/>
    </row>
    <row r="46" spans="1:20" ht="12.75" hidden="1">
      <c r="A46" s="651" t="s">
        <v>1145</v>
      </c>
      <c r="B46" s="652">
        <v>6.191</v>
      </c>
      <c r="C46" s="739">
        <v>6112.115</v>
      </c>
      <c r="D46" s="637">
        <f>ROUND((B46*C46)+0.01,3)</f>
        <v>37840.114</v>
      </c>
      <c r="E46" s="730">
        <v>46.15</v>
      </c>
      <c r="F46" s="732">
        <v>1719.755</v>
      </c>
      <c r="G46" s="647">
        <v>79366.72</v>
      </c>
      <c r="H46" s="681">
        <v>96.19</v>
      </c>
      <c r="I46" s="732">
        <v>41.288</v>
      </c>
      <c r="J46" s="647">
        <v>3971.51</v>
      </c>
      <c r="K46" s="675">
        <f>G46+J46</f>
        <v>83338.23</v>
      </c>
      <c r="L46" s="652">
        <v>278.2</v>
      </c>
      <c r="M46" s="739">
        <v>14.9978</v>
      </c>
      <c r="N46" s="637">
        <f>ROUND((L46*M46),3)</f>
        <v>4172.388</v>
      </c>
      <c r="O46" s="665">
        <v>374.39</v>
      </c>
      <c r="P46" s="732">
        <v>16.14243</v>
      </c>
      <c r="Q46" s="647">
        <f>ROUND((O46*P46),3)</f>
        <v>6043.564</v>
      </c>
      <c r="R46" s="677">
        <f>N46+Q46</f>
        <v>10215.952000000001</v>
      </c>
      <c r="S46" s="678">
        <f>D46+K46+R46</f>
        <v>131394.296</v>
      </c>
      <c r="T46" s="496"/>
    </row>
    <row r="47" spans="1:20" ht="33.75" hidden="1">
      <c r="A47" s="659" t="s">
        <v>1146</v>
      </c>
      <c r="B47" s="733">
        <f>B44+B45+B46</f>
        <v>17.575</v>
      </c>
      <c r="C47" s="734"/>
      <c r="D47" s="740">
        <f>D44+D45+D46</f>
        <v>105907.19</v>
      </c>
      <c r="E47" s="681">
        <f>E44+E45+E46</f>
        <v>62.3</v>
      </c>
      <c r="F47" s="735"/>
      <c r="G47" s="736">
        <f>G44+G45+G46</f>
        <v>107140.78</v>
      </c>
      <c r="H47" s="681">
        <f>H44+H45+H46</f>
        <v>323.61</v>
      </c>
      <c r="I47" s="735"/>
      <c r="J47" s="667">
        <f>J44+J45+J46</f>
        <v>13361.27</v>
      </c>
      <c r="K47" s="741">
        <f>K44+K45+K46</f>
        <v>120502.04999999999</v>
      </c>
      <c r="L47" s="733">
        <f>L44+L45+L46</f>
        <v>725.04</v>
      </c>
      <c r="M47" s="734"/>
      <c r="N47" s="663">
        <f>N44+N45+N46</f>
        <v>10878.021</v>
      </c>
      <c r="O47" s="681">
        <f>O44+O45+O46</f>
        <v>1048.65</v>
      </c>
      <c r="P47" s="735"/>
      <c r="Q47" s="667">
        <f>Q44+Q45+Q46</f>
        <v>16927.743000000002</v>
      </c>
      <c r="R47" s="737">
        <f>R44+R45+R46</f>
        <v>27805.764</v>
      </c>
      <c r="S47" s="738">
        <f>S44+S45+S46</f>
        <v>254214.999</v>
      </c>
      <c r="T47" s="496"/>
    </row>
    <row r="48" spans="1:20" ht="12.75" hidden="1">
      <c r="A48" s="651" t="s">
        <v>1147</v>
      </c>
      <c r="B48" s="635">
        <v>6.144</v>
      </c>
      <c r="C48" s="739">
        <v>6462.257</v>
      </c>
      <c r="D48" s="637">
        <f>ROUND((B48*C48),3)</f>
        <v>39704.107</v>
      </c>
      <c r="E48" s="730">
        <v>47.68</v>
      </c>
      <c r="F48" s="732">
        <v>1719.755</v>
      </c>
      <c r="G48" s="647">
        <v>81997.94</v>
      </c>
      <c r="H48" s="730">
        <v>123.99</v>
      </c>
      <c r="I48" s="732">
        <v>41.288</v>
      </c>
      <c r="J48" s="647">
        <v>5119.32</v>
      </c>
      <c r="K48" s="675">
        <f>G48+J48</f>
        <v>87117.26000000001</v>
      </c>
      <c r="L48" s="635">
        <v>72.41</v>
      </c>
      <c r="M48" s="739">
        <v>14.9977</v>
      </c>
      <c r="N48" s="637">
        <f>ROUND((L48*M48),3)</f>
        <v>1085.983</v>
      </c>
      <c r="O48" s="645">
        <v>196.4</v>
      </c>
      <c r="P48" s="732">
        <v>16.1422</v>
      </c>
      <c r="Q48" s="647">
        <f>ROUND((O48*P48)+0.01,3)</f>
        <v>3170.338</v>
      </c>
      <c r="R48" s="677">
        <f>N48+Q48</f>
        <v>4256.321</v>
      </c>
      <c r="S48" s="678">
        <f>D48+K48+R48</f>
        <v>131077.68800000002</v>
      </c>
      <c r="T48" s="496"/>
    </row>
    <row r="49" spans="1:20" ht="12.75" hidden="1">
      <c r="A49" s="682" t="s">
        <v>1148</v>
      </c>
      <c r="B49" s="652">
        <v>5.628</v>
      </c>
      <c r="C49" s="739">
        <v>6490.79</v>
      </c>
      <c r="D49" s="637">
        <f>ROUND((B49*C49),3)</f>
        <v>36530.166</v>
      </c>
      <c r="E49" s="730">
        <v>65</v>
      </c>
      <c r="F49" s="732">
        <v>1719.755</v>
      </c>
      <c r="G49" s="647">
        <v>111784.11</v>
      </c>
      <c r="H49" s="681">
        <v>113.6</v>
      </c>
      <c r="I49" s="732">
        <v>41.288</v>
      </c>
      <c r="J49" s="647">
        <v>4690.33</v>
      </c>
      <c r="K49" s="675">
        <f>G49+J49</f>
        <v>116474.44</v>
      </c>
      <c r="L49" s="652">
        <v>438.14</v>
      </c>
      <c r="M49" s="739">
        <v>14.9978</v>
      </c>
      <c r="N49" s="637">
        <f>ROUND((L49*M49),3)</f>
        <v>6571.136</v>
      </c>
      <c r="O49" s="665">
        <v>551.74</v>
      </c>
      <c r="P49" s="732">
        <v>16.1424</v>
      </c>
      <c r="Q49" s="647">
        <f>ROUND((O49*P49)-0.01,3)</f>
        <v>8906.398</v>
      </c>
      <c r="R49" s="677">
        <f>N49+Q49</f>
        <v>15477.534</v>
      </c>
      <c r="S49" s="678">
        <f>D49+K49+R49</f>
        <v>168482.14</v>
      </c>
      <c r="T49" s="496"/>
    </row>
    <row r="50" spans="1:20" ht="12.75" hidden="1">
      <c r="A50" s="684" t="s">
        <v>1149</v>
      </c>
      <c r="B50" s="652">
        <v>6.478</v>
      </c>
      <c r="C50" s="739">
        <v>6409.984</v>
      </c>
      <c r="D50" s="637">
        <f>ROUND((B50*C50),3)</f>
        <v>41523.876</v>
      </c>
      <c r="E50" s="730">
        <v>81.83</v>
      </c>
      <c r="F50" s="732">
        <v>1719.692</v>
      </c>
      <c r="G50" s="647">
        <v>140722.45</v>
      </c>
      <c r="H50" s="681">
        <v>170.11</v>
      </c>
      <c r="I50" s="732">
        <v>41.289</v>
      </c>
      <c r="J50" s="647">
        <v>7023.71</v>
      </c>
      <c r="K50" s="675">
        <f>G50+J50</f>
        <v>147746.16</v>
      </c>
      <c r="L50" s="652">
        <v>219.57</v>
      </c>
      <c r="M50" s="739">
        <v>14.9977</v>
      </c>
      <c r="N50" s="637">
        <f>ROUND((L50*M50)-0.01,3)</f>
        <v>3293.035</v>
      </c>
      <c r="O50" s="665">
        <v>389.68</v>
      </c>
      <c r="P50" s="732">
        <v>16.1424</v>
      </c>
      <c r="Q50" s="647">
        <f>ROUND((O50*P50),3)</f>
        <v>6290.37</v>
      </c>
      <c r="R50" s="677">
        <f>N50+Q50</f>
        <v>9583.404999999999</v>
      </c>
      <c r="S50" s="678">
        <f>D50+K50+R50</f>
        <v>198853.441</v>
      </c>
      <c r="T50" s="496"/>
    </row>
    <row r="51" spans="1:20" ht="34.5" hidden="1" thickBot="1">
      <c r="A51" s="685" t="s">
        <v>1150</v>
      </c>
      <c r="B51" s="742">
        <f>B48+B49+B50</f>
        <v>18.25</v>
      </c>
      <c r="C51" s="687"/>
      <c r="D51" s="743">
        <f>D48+D49+D50</f>
        <v>117758.149</v>
      </c>
      <c r="E51" s="744">
        <f>E48+E49+E50</f>
        <v>194.51</v>
      </c>
      <c r="F51" s="694"/>
      <c r="G51" s="745">
        <f>G48+G49+G50</f>
        <v>334504.5</v>
      </c>
      <c r="H51" s="744">
        <f>H48+H49+H50</f>
        <v>407.7</v>
      </c>
      <c r="I51" s="694"/>
      <c r="J51" s="695">
        <f>J48+J49+J50</f>
        <v>16833.36</v>
      </c>
      <c r="K51" s="746">
        <f>K48+K49+K50</f>
        <v>351337.86</v>
      </c>
      <c r="L51" s="742">
        <f>L48+L49+L50</f>
        <v>730.1199999999999</v>
      </c>
      <c r="M51" s="687"/>
      <c r="N51" s="691">
        <f>N48+N49+N50</f>
        <v>10950.154</v>
      </c>
      <c r="O51" s="744">
        <f>O48+O49+O50</f>
        <v>1137.82</v>
      </c>
      <c r="P51" s="694"/>
      <c r="Q51" s="695">
        <f>Q48+Q49+Q50</f>
        <v>18367.106</v>
      </c>
      <c r="R51" s="747">
        <f>R48+R49+R50</f>
        <v>29317.26</v>
      </c>
      <c r="S51" s="748">
        <f>S48+S49+S50</f>
        <v>498413.26900000003</v>
      </c>
      <c r="T51" s="496"/>
    </row>
    <row r="52" spans="1:19" s="496" customFormat="1" ht="13.5" hidden="1" thickBot="1">
      <c r="A52" s="749" t="s">
        <v>695</v>
      </c>
      <c r="B52" s="750">
        <f>B51+B47+B43+B39</f>
        <v>70.517</v>
      </c>
      <c r="C52" s="751"/>
      <c r="D52" s="752">
        <f>ROUND((D51+D47+D43+D39),2)-0.01</f>
        <v>413891.07</v>
      </c>
      <c r="E52" s="753">
        <f>E51+E47+E43+E39</f>
        <v>491.70000000000005</v>
      </c>
      <c r="F52" s="751"/>
      <c r="G52" s="752">
        <f>ROUND((G51+G47+G43+G39),2)-0.01</f>
        <v>746773.62</v>
      </c>
      <c r="H52" s="753">
        <f>H51+H47+H43+H39</f>
        <v>1430.86</v>
      </c>
      <c r="I52" s="751"/>
      <c r="J52" s="752">
        <f>ROUND((J51+J47+J43+J39),2)</f>
        <v>52358.46</v>
      </c>
      <c r="K52" s="752">
        <f>K51+K47+K43+K39</f>
        <v>799132.09</v>
      </c>
      <c r="L52" s="753">
        <f>L51+L47+L43+L39</f>
        <v>2755.85</v>
      </c>
      <c r="M52" s="751"/>
      <c r="N52" s="752">
        <f>ROUND((N51+N47+N43+N39),2)</f>
        <v>40582.31</v>
      </c>
      <c r="O52" s="753">
        <f>O51+O47+O43+O39</f>
        <v>4216.9400000000005</v>
      </c>
      <c r="P52" s="751"/>
      <c r="Q52" s="752">
        <f>ROUND((Q51+Q47+Q43+Q39),2)</f>
        <v>66801.66</v>
      </c>
      <c r="R52" s="752">
        <f>R51+R47+R43+R39-0.01</f>
        <v>107383.96</v>
      </c>
      <c r="S52" s="752">
        <f>S51+S47+S43+S39</f>
        <v>1320407.139</v>
      </c>
    </row>
    <row r="53" spans="15:20" ht="12.75">
      <c r="O53" s="496"/>
      <c r="P53" s="496"/>
      <c r="Q53" s="496"/>
      <c r="R53" s="496"/>
      <c r="S53" s="496"/>
      <c r="T53" s="496"/>
    </row>
    <row r="54" spans="15:20" ht="12.75">
      <c r="O54" s="496"/>
      <c r="P54" s="496"/>
      <c r="Q54" s="496"/>
      <c r="R54" s="496"/>
      <c r="S54" s="496"/>
      <c r="T54" s="496"/>
    </row>
    <row r="56" spans="2:18" ht="13.5" thickBot="1">
      <c r="B56" s="791"/>
      <c r="C56" s="791"/>
      <c r="K56" s="790"/>
      <c r="O56" s="790"/>
      <c r="R56" s="790"/>
    </row>
    <row r="57" spans="1:25" s="617" customFormat="1" ht="16.5" thickBot="1">
      <c r="A57" s="897" t="s">
        <v>1160</v>
      </c>
      <c r="B57" s="898"/>
      <c r="C57" s="898"/>
      <c r="D57" s="898"/>
      <c r="E57" s="898"/>
      <c r="F57" s="898"/>
      <c r="G57" s="898"/>
      <c r="H57" s="898"/>
      <c r="I57" s="898"/>
      <c r="J57" s="898"/>
      <c r="K57" s="898"/>
      <c r="L57" s="898"/>
      <c r="M57" s="898"/>
      <c r="N57" s="898"/>
      <c r="O57" s="898"/>
      <c r="P57" s="898"/>
      <c r="Q57" s="898"/>
      <c r="R57" s="898"/>
      <c r="S57" s="898"/>
      <c r="T57" s="898"/>
      <c r="U57" s="898"/>
      <c r="V57" s="898"/>
      <c r="W57" s="898"/>
      <c r="X57" s="898"/>
      <c r="Y57" s="899"/>
    </row>
    <row r="58" spans="1:25" s="617" customFormat="1" ht="13.5" customHeight="1" thickBot="1">
      <c r="A58" s="900" t="s">
        <v>1118</v>
      </c>
      <c r="B58" s="864" t="s">
        <v>1119</v>
      </c>
      <c r="C58" s="865"/>
      <c r="D58" s="867"/>
      <c r="E58" s="864" t="s">
        <v>1120</v>
      </c>
      <c r="F58" s="865"/>
      <c r="G58" s="865"/>
      <c r="H58" s="866"/>
      <c r="I58" s="866"/>
      <c r="J58" s="866"/>
      <c r="K58" s="865"/>
      <c r="L58" s="865"/>
      <c r="M58" s="867"/>
      <c r="N58" s="868" t="s">
        <v>1121</v>
      </c>
      <c r="O58" s="883" t="s">
        <v>1122</v>
      </c>
      <c r="P58" s="884"/>
      <c r="Q58" s="885"/>
      <c r="R58" s="889" t="s">
        <v>1123</v>
      </c>
      <c r="S58" s="890"/>
      <c r="T58" s="890"/>
      <c r="U58" s="890"/>
      <c r="V58" s="890"/>
      <c r="W58" s="891"/>
      <c r="X58" s="868" t="s">
        <v>1124</v>
      </c>
      <c r="Y58" s="892" t="s">
        <v>1125</v>
      </c>
    </row>
    <row r="59" spans="1:25" s="617" customFormat="1" ht="13.5" customHeight="1" thickBot="1">
      <c r="A59" s="901"/>
      <c r="B59" s="870" t="s">
        <v>1126</v>
      </c>
      <c r="C59" s="871"/>
      <c r="D59" s="872"/>
      <c r="E59" s="879" t="s">
        <v>1120</v>
      </c>
      <c r="F59" s="880"/>
      <c r="G59" s="881"/>
      <c r="H59" s="879" t="s">
        <v>1127</v>
      </c>
      <c r="I59" s="880"/>
      <c r="J59" s="881"/>
      <c r="K59" s="873" t="s">
        <v>1128</v>
      </c>
      <c r="L59" s="874"/>
      <c r="M59" s="875"/>
      <c r="N59" s="869"/>
      <c r="O59" s="886"/>
      <c r="P59" s="887"/>
      <c r="Q59" s="888"/>
      <c r="R59" s="876" t="s">
        <v>654</v>
      </c>
      <c r="S59" s="877"/>
      <c r="T59" s="878"/>
      <c r="U59" s="894" t="s">
        <v>1129</v>
      </c>
      <c r="V59" s="895"/>
      <c r="W59" s="896"/>
      <c r="X59" s="869"/>
      <c r="Y59" s="893"/>
    </row>
    <row r="60" spans="1:25" s="617" customFormat="1" ht="21">
      <c r="A60" s="901"/>
      <c r="B60" s="618" t="s">
        <v>1130</v>
      </c>
      <c r="C60" s="619" t="s">
        <v>1131</v>
      </c>
      <c r="D60" s="620" t="s">
        <v>295</v>
      </c>
      <c r="E60" s="806" t="s">
        <v>1132</v>
      </c>
      <c r="F60" s="807" t="s">
        <v>1133</v>
      </c>
      <c r="G60" s="808" t="s">
        <v>295</v>
      </c>
      <c r="H60" s="721" t="s">
        <v>1132</v>
      </c>
      <c r="I60" s="807" t="s">
        <v>1133</v>
      </c>
      <c r="J60" s="808" t="s">
        <v>295</v>
      </c>
      <c r="K60" s="618" t="s">
        <v>1134</v>
      </c>
      <c r="L60" s="619" t="s">
        <v>1133</v>
      </c>
      <c r="M60" s="624" t="s">
        <v>295</v>
      </c>
      <c r="N60" s="869"/>
      <c r="O60" s="625" t="s">
        <v>1134</v>
      </c>
      <c r="P60" s="626" t="s">
        <v>1133</v>
      </c>
      <c r="Q60" s="627" t="s">
        <v>295</v>
      </c>
      <c r="R60" s="625" t="s">
        <v>1134</v>
      </c>
      <c r="S60" s="626" t="s">
        <v>1133</v>
      </c>
      <c r="T60" s="627" t="s">
        <v>295</v>
      </c>
      <c r="U60" s="628" t="s">
        <v>1134</v>
      </c>
      <c r="V60" s="629" t="s">
        <v>1133</v>
      </c>
      <c r="W60" s="630" t="s">
        <v>295</v>
      </c>
      <c r="X60" s="869"/>
      <c r="Y60" s="893"/>
    </row>
    <row r="61" spans="1:25" s="633" customFormat="1" ht="9">
      <c r="A61" s="631">
        <v>1</v>
      </c>
      <c r="B61" s="631">
        <v>2</v>
      </c>
      <c r="C61" s="631">
        <v>3</v>
      </c>
      <c r="D61" s="631">
        <v>4</v>
      </c>
      <c r="E61" s="632">
        <v>6</v>
      </c>
      <c r="F61" s="632">
        <v>7</v>
      </c>
      <c r="G61" s="632">
        <v>8</v>
      </c>
      <c r="H61" s="632">
        <v>9</v>
      </c>
      <c r="I61" s="632">
        <v>10</v>
      </c>
      <c r="J61" s="632">
        <v>11</v>
      </c>
      <c r="K61" s="631">
        <v>12</v>
      </c>
      <c r="L61" s="631">
        <v>13</v>
      </c>
      <c r="M61" s="631">
        <v>14</v>
      </c>
      <c r="N61" s="631">
        <v>15</v>
      </c>
      <c r="O61" s="632">
        <v>16</v>
      </c>
      <c r="P61" s="632">
        <v>17</v>
      </c>
      <c r="Q61" s="632">
        <v>18</v>
      </c>
      <c r="R61" s="632">
        <v>19</v>
      </c>
      <c r="S61" s="632">
        <v>20</v>
      </c>
      <c r="T61" s="632">
        <v>21</v>
      </c>
      <c r="U61" s="631">
        <v>22</v>
      </c>
      <c r="V61" s="631">
        <v>23</v>
      </c>
      <c r="W61" s="631">
        <v>24</v>
      </c>
      <c r="X61" s="631">
        <v>25</v>
      </c>
      <c r="Y61" s="631">
        <v>26</v>
      </c>
    </row>
    <row r="62" spans="1:25" s="617" customFormat="1" ht="12.75">
      <c r="A62" s="634" t="s">
        <v>1135</v>
      </c>
      <c r="B62" s="728">
        <v>5.769</v>
      </c>
      <c r="C62" s="729">
        <v>5580.279</v>
      </c>
      <c r="D62" s="637">
        <f>B62*C62</f>
        <v>32192.629551</v>
      </c>
      <c r="E62" s="638">
        <v>12.59</v>
      </c>
      <c r="F62" s="639">
        <f>1100.87*1.18</f>
        <v>1299.0265999999997</v>
      </c>
      <c r="G62" s="640">
        <f>E62*F62</f>
        <v>16354.744893999996</v>
      </c>
      <c r="H62" s="641">
        <v>7.59</v>
      </c>
      <c r="I62" s="639">
        <f>1100.87*1.18</f>
        <v>1299.0265999999997</v>
      </c>
      <c r="J62" s="642">
        <f>H62*I62</f>
        <v>9859.611893999998</v>
      </c>
      <c r="K62" s="728">
        <v>81.85</v>
      </c>
      <c r="L62" s="729">
        <f>26.85*1.18</f>
        <v>31.683</v>
      </c>
      <c r="M62" s="637">
        <v>2593.25</v>
      </c>
      <c r="N62" s="644">
        <f>G62+M62+J62</f>
        <v>28807.606787999994</v>
      </c>
      <c r="O62" s="635">
        <v>279.92</v>
      </c>
      <c r="P62" s="729">
        <v>14.4196</v>
      </c>
      <c r="Q62" s="637">
        <f>ROUND((O62*P62),3)</f>
        <v>4036.334</v>
      </c>
      <c r="R62" s="635">
        <v>381.05</v>
      </c>
      <c r="S62" s="729">
        <v>15.517</v>
      </c>
      <c r="T62" s="637">
        <f>ROUND((R62*S62)+0.01,3)</f>
        <v>5912.763</v>
      </c>
      <c r="U62" s="635"/>
      <c r="V62" s="649"/>
      <c r="W62" s="637">
        <f>U62*V62</f>
        <v>0</v>
      </c>
      <c r="X62" s="644">
        <f>Q62+T62+W62</f>
        <v>9949.097</v>
      </c>
      <c r="Y62" s="650">
        <f>D62+N62+X62</f>
        <v>70949.33333899999</v>
      </c>
    </row>
    <row r="63" spans="1:25" s="617" customFormat="1" ht="12.75">
      <c r="A63" s="651" t="s">
        <v>1136</v>
      </c>
      <c r="B63" s="652">
        <v>6.207</v>
      </c>
      <c r="C63" s="729">
        <v>5819.217</v>
      </c>
      <c r="D63" s="637">
        <f>B63*C63</f>
        <v>36119.879919</v>
      </c>
      <c r="E63" s="638">
        <v>53.46</v>
      </c>
      <c r="F63" s="639">
        <f>1100.87*1.18</f>
        <v>1299.0265999999997</v>
      </c>
      <c r="G63" s="653">
        <f>E63*F63</f>
        <v>69445.96203599998</v>
      </c>
      <c r="H63" s="641">
        <v>8.03</v>
      </c>
      <c r="I63" s="639">
        <f>1100.87*1.18</f>
        <v>1299.0265999999997</v>
      </c>
      <c r="J63" s="642">
        <f>H63*I63+0.01</f>
        <v>10431.193597999996</v>
      </c>
      <c r="K63" s="733">
        <v>102.98</v>
      </c>
      <c r="L63" s="739">
        <v>31.682</v>
      </c>
      <c r="M63" s="637">
        <v>3262.71</v>
      </c>
      <c r="N63" s="644">
        <f>G63+M63+J63</f>
        <v>83139.86563399999</v>
      </c>
      <c r="O63" s="652">
        <v>193.73</v>
      </c>
      <c r="P63" s="729">
        <v>14.4196</v>
      </c>
      <c r="Q63" s="637">
        <f>ROUND((O63*P63),3)</f>
        <v>2793.509</v>
      </c>
      <c r="R63" s="652">
        <v>296.71</v>
      </c>
      <c r="S63" s="739">
        <f>S62</f>
        <v>15.517</v>
      </c>
      <c r="T63" s="637">
        <f>ROUND((R63*S63),3)</f>
        <v>4604.049</v>
      </c>
      <c r="U63" s="635"/>
      <c r="V63" s="649"/>
      <c r="W63" s="655">
        <f>U63*V63</f>
        <v>0</v>
      </c>
      <c r="X63" s="644">
        <f>Q63+T63+W63</f>
        <v>7397.558</v>
      </c>
      <c r="Y63" s="650">
        <f>D63+N63+X63</f>
        <v>126657.30355299999</v>
      </c>
    </row>
    <row r="64" spans="1:25" s="617" customFormat="1" ht="12.75">
      <c r="A64" s="651" t="s">
        <v>1137</v>
      </c>
      <c r="B64" s="652">
        <v>5.685</v>
      </c>
      <c r="C64" s="729">
        <v>5585.116</v>
      </c>
      <c r="D64" s="637">
        <f>B64*C64</f>
        <v>31751.384459999997</v>
      </c>
      <c r="E64" s="638">
        <v>41</v>
      </c>
      <c r="F64" s="639">
        <f>1100.87*1.18</f>
        <v>1299.0265999999997</v>
      </c>
      <c r="G64" s="653">
        <f>E64*F64</f>
        <v>53260.09059999999</v>
      </c>
      <c r="H64" s="658">
        <v>7.19</v>
      </c>
      <c r="I64" s="639">
        <f>1100.87*1.18</f>
        <v>1299.0265999999997</v>
      </c>
      <c r="J64" s="642">
        <f>H64*I64</f>
        <v>9340.001253999999</v>
      </c>
      <c r="K64" s="733">
        <v>111.02</v>
      </c>
      <c r="L64" s="739">
        <v>31.682</v>
      </c>
      <c r="M64" s="637">
        <v>3517.44</v>
      </c>
      <c r="N64" s="644">
        <f>G64+M64+J64</f>
        <v>66117.53185399999</v>
      </c>
      <c r="O64" s="652">
        <v>164.1</v>
      </c>
      <c r="P64" s="729">
        <v>14.4117</v>
      </c>
      <c r="Q64" s="637">
        <f>ROUND((O64*P64),3)</f>
        <v>2364.96</v>
      </c>
      <c r="R64" s="652">
        <v>276.43</v>
      </c>
      <c r="S64" s="739">
        <f>S62</f>
        <v>15.517</v>
      </c>
      <c r="T64" s="637">
        <f>ROUND((R64*S64),3)</f>
        <v>4289.364</v>
      </c>
      <c r="U64" s="635"/>
      <c r="V64" s="649"/>
      <c r="W64" s="655">
        <f>U64*V64</f>
        <v>0</v>
      </c>
      <c r="X64" s="644">
        <f>Q64+T64+W64</f>
        <v>6654.324</v>
      </c>
      <c r="Y64" s="650">
        <f>D64+N64+X64</f>
        <v>104523.24031399998</v>
      </c>
    </row>
    <row r="65" spans="1:25" s="617" customFormat="1" ht="22.5">
      <c r="A65" s="659" t="s">
        <v>1138</v>
      </c>
      <c r="B65" s="733">
        <f>B62+B63+B64</f>
        <v>17.660999999999998</v>
      </c>
      <c r="C65" s="734"/>
      <c r="D65" s="660">
        <f>D62+D63+D64</f>
        <v>100063.89393</v>
      </c>
      <c r="E65" s="652">
        <f>E62+E63+E64</f>
        <v>107.05</v>
      </c>
      <c r="F65" s="658"/>
      <c r="G65" s="661">
        <f>G62+G63+G64</f>
        <v>139060.79752999998</v>
      </c>
      <c r="H65" s="658">
        <f>H62+H63+H64</f>
        <v>22.81</v>
      </c>
      <c r="I65" s="658"/>
      <c r="J65" s="642">
        <f>J62+J63+J64</f>
        <v>29630.80674599999</v>
      </c>
      <c r="K65" s="733">
        <f>K62+K63+K64</f>
        <v>295.84999999999997</v>
      </c>
      <c r="L65" s="734"/>
      <c r="M65" s="663">
        <f>M62+M63+M64</f>
        <v>9373.4</v>
      </c>
      <c r="N65" s="664">
        <f>N62+N63+N64</f>
        <v>178065.00427599996</v>
      </c>
      <c r="O65" s="733">
        <f>O62+O63+O64</f>
        <v>637.75</v>
      </c>
      <c r="P65" s="734"/>
      <c r="Q65" s="663">
        <f>Q62+Q63+Q64</f>
        <v>9194.803</v>
      </c>
      <c r="R65" s="733">
        <f>R62+R63+R64</f>
        <v>954.19</v>
      </c>
      <c r="S65" s="734"/>
      <c r="T65" s="663">
        <f>T62+T63+T64</f>
        <v>14806.176</v>
      </c>
      <c r="U65" s="652">
        <f>U62+U63+U64</f>
        <v>0</v>
      </c>
      <c r="V65" s="658"/>
      <c r="W65" s="663">
        <f>W62+W63+W64</f>
        <v>0</v>
      </c>
      <c r="X65" s="669">
        <f>X62+X63+X64</f>
        <v>24000.979</v>
      </c>
      <c r="Y65" s="670">
        <f>Y62+Y63+Y64</f>
        <v>302129.877206</v>
      </c>
    </row>
    <row r="66" spans="1:25" s="496" customFormat="1" ht="12.75">
      <c r="A66" s="671" t="s">
        <v>1139</v>
      </c>
      <c r="B66" s="635">
        <v>6.045</v>
      </c>
      <c r="C66" s="739">
        <v>5476.38</v>
      </c>
      <c r="D66" s="657">
        <f>B66*C66</f>
        <v>33104.7171</v>
      </c>
      <c r="E66" s="679">
        <v>43.75</v>
      </c>
      <c r="F66" s="639">
        <f>1100.87*1.18</f>
        <v>1299.0265999999997</v>
      </c>
      <c r="G66" s="653">
        <f>E66*F66</f>
        <v>56832.413749999985</v>
      </c>
      <c r="H66" s="658">
        <v>8.98</v>
      </c>
      <c r="I66" s="639">
        <f>1100.87*1.18</f>
        <v>1299.0265999999997</v>
      </c>
      <c r="J66" s="642">
        <f>H66*I66</f>
        <v>11665.258867999997</v>
      </c>
      <c r="K66" s="728">
        <v>142.41</v>
      </c>
      <c r="L66" s="739">
        <v>31.683</v>
      </c>
      <c r="M66" s="637">
        <v>4511.98</v>
      </c>
      <c r="N66" s="664">
        <f>G66+M66+J66</f>
        <v>73009.652618</v>
      </c>
      <c r="O66" s="635">
        <v>213.49</v>
      </c>
      <c r="P66" s="739">
        <f>P62</f>
        <v>14.4196</v>
      </c>
      <c r="Q66" s="637">
        <f>ROUND((O66*P66),3)</f>
        <v>3078.44</v>
      </c>
      <c r="R66" s="635">
        <v>361.97</v>
      </c>
      <c r="S66" s="739">
        <f>S62</f>
        <v>15.517</v>
      </c>
      <c r="T66" s="637">
        <f>ROUND((R66*S66),3)</f>
        <v>5616.688</v>
      </c>
      <c r="U66" s="652"/>
      <c r="V66" s="676"/>
      <c r="W66" s="657">
        <f>U66*V66</f>
        <v>0</v>
      </c>
      <c r="X66" s="677">
        <f>Q66+T66+W66</f>
        <v>8695.128</v>
      </c>
      <c r="Y66" s="678">
        <f>D66+N66+X66</f>
        <v>114809.497718</v>
      </c>
    </row>
    <row r="67" spans="1:25" s="496" customFormat="1" ht="12.75">
      <c r="A67" s="671" t="s">
        <v>1140</v>
      </c>
      <c r="B67" s="652">
        <v>5.119</v>
      </c>
      <c r="C67" s="739">
        <v>5274.233</v>
      </c>
      <c r="D67" s="657">
        <f>B67*C67</f>
        <v>26998.798727</v>
      </c>
      <c r="E67" s="679">
        <v>33.93</v>
      </c>
      <c r="F67" s="639">
        <f>1100.87*1.18</f>
        <v>1299.0265999999997</v>
      </c>
      <c r="G67" s="653">
        <f>E67*F67</f>
        <v>44075.97253799999</v>
      </c>
      <c r="H67" s="658">
        <v>8.28</v>
      </c>
      <c r="I67" s="639">
        <f>1100.87*1.18</f>
        <v>1299.0265999999997</v>
      </c>
      <c r="J67" s="642">
        <f>H67*I67</f>
        <v>10755.940247999997</v>
      </c>
      <c r="K67" s="733">
        <v>134.3</v>
      </c>
      <c r="L67" s="739">
        <v>31.683</v>
      </c>
      <c r="M67" s="637">
        <v>4255.03</v>
      </c>
      <c r="N67" s="664">
        <f>G67+M67+J67</f>
        <v>59086.942785999985</v>
      </c>
      <c r="O67" s="652">
        <v>195.23</v>
      </c>
      <c r="P67" s="739">
        <f>P63</f>
        <v>14.4196</v>
      </c>
      <c r="Q67" s="637">
        <f>ROUND((O67*P67),3)</f>
        <v>2815.139</v>
      </c>
      <c r="R67" s="652">
        <v>333.1</v>
      </c>
      <c r="S67" s="739">
        <f>S63</f>
        <v>15.517</v>
      </c>
      <c r="T67" s="637">
        <f>ROUND((R67*S67)+0.01,3)</f>
        <v>5168.723</v>
      </c>
      <c r="U67" s="652"/>
      <c r="V67" s="676"/>
      <c r="W67" s="657">
        <f>U67*V67</f>
        <v>0</v>
      </c>
      <c r="X67" s="677">
        <f>Q67+T67+W67</f>
        <v>7983.862</v>
      </c>
      <c r="Y67" s="678">
        <f>D67+N67+X67</f>
        <v>94069.60351299998</v>
      </c>
    </row>
    <row r="68" spans="1:25" s="496" customFormat="1" ht="12.75">
      <c r="A68" s="671" t="s">
        <v>1141</v>
      </c>
      <c r="B68" s="652">
        <v>5.867</v>
      </c>
      <c r="C68" s="739">
        <v>5123.287</v>
      </c>
      <c r="D68" s="657">
        <f>B68*C68</f>
        <v>30058.324829</v>
      </c>
      <c r="E68" s="679">
        <v>0</v>
      </c>
      <c r="F68" s="639">
        <f>1100.87*1.18</f>
        <v>1299.0265999999997</v>
      </c>
      <c r="G68" s="653">
        <f>E68*F68</f>
        <v>0</v>
      </c>
      <c r="H68" s="658">
        <v>10.09</v>
      </c>
      <c r="I68" s="639">
        <f>1100.87*1.18</f>
        <v>1299.0265999999997</v>
      </c>
      <c r="J68" s="642">
        <f>H68*I68-0.01</f>
        <v>13107.168393999997</v>
      </c>
      <c r="K68" s="733">
        <v>126.99</v>
      </c>
      <c r="L68" s="739">
        <f>L64</f>
        <v>31.682</v>
      </c>
      <c r="M68" s="637">
        <v>4023.42</v>
      </c>
      <c r="N68" s="664">
        <f>G68+M68+J68</f>
        <v>17130.588394</v>
      </c>
      <c r="O68" s="652">
        <v>254.22</v>
      </c>
      <c r="P68" s="739">
        <v>14.4196</v>
      </c>
      <c r="Q68" s="637">
        <f>ROUND((O68*P68),3)</f>
        <v>3665.751</v>
      </c>
      <c r="R68" s="652">
        <v>381.21</v>
      </c>
      <c r="S68" s="739">
        <f>S64</f>
        <v>15.517</v>
      </c>
      <c r="T68" s="637">
        <f>ROUND((R68*S68)-0.01,3)</f>
        <v>5915.226</v>
      </c>
      <c r="U68" s="652"/>
      <c r="V68" s="676"/>
      <c r="W68" s="657">
        <f>U68*V68</f>
        <v>0</v>
      </c>
      <c r="X68" s="677">
        <f>Q68+T68+W68</f>
        <v>9580.976999999999</v>
      </c>
      <c r="Y68" s="678">
        <f>D68+N68+X68</f>
        <v>56769.890222999995</v>
      </c>
    </row>
    <row r="69" spans="1:25" s="617" customFormat="1" ht="22.5">
      <c r="A69" s="659" t="s">
        <v>1142</v>
      </c>
      <c r="B69" s="733">
        <f>B66+B67+B68</f>
        <v>17.031</v>
      </c>
      <c r="C69" s="734"/>
      <c r="D69" s="660">
        <f>D66+D67+D68</f>
        <v>90161.840656</v>
      </c>
      <c r="E69" s="652">
        <f>E66+E67+E68</f>
        <v>77.68</v>
      </c>
      <c r="F69" s="658"/>
      <c r="G69" s="661">
        <f>G66+G67+G68</f>
        <v>100908.38628799998</v>
      </c>
      <c r="H69" s="658">
        <f>H66+H67+H68</f>
        <v>27.349999999999998</v>
      </c>
      <c r="I69" s="658"/>
      <c r="J69" s="642">
        <f>J66+J67+J68</f>
        <v>35528.36751</v>
      </c>
      <c r="K69" s="733">
        <f>K66+K67+K68</f>
        <v>403.70000000000005</v>
      </c>
      <c r="L69" s="734"/>
      <c r="M69" s="663">
        <f>M66+M67+M68</f>
        <v>12790.429999999998</v>
      </c>
      <c r="N69" s="680">
        <f>N66+N67+N68</f>
        <v>149227.18379799995</v>
      </c>
      <c r="O69" s="733">
        <f>O66+O67+O68</f>
        <v>662.94</v>
      </c>
      <c r="P69" s="734"/>
      <c r="Q69" s="663">
        <f>Q66+Q67+Q68</f>
        <v>9559.33</v>
      </c>
      <c r="R69" s="733">
        <f>R66+R67+R68</f>
        <v>1076.28</v>
      </c>
      <c r="S69" s="734"/>
      <c r="T69" s="663">
        <f>T66+T67+T68</f>
        <v>16700.637</v>
      </c>
      <c r="U69" s="652">
        <f>U66+U67+U68</f>
        <v>0</v>
      </c>
      <c r="V69" s="658"/>
      <c r="W69" s="663">
        <f>W66+W67+W68</f>
        <v>0</v>
      </c>
      <c r="X69" s="669">
        <f>X66+X67+X68</f>
        <v>26259.967</v>
      </c>
      <c r="Y69" s="670">
        <f>Y66+Y67+Y68</f>
        <v>265648.991454</v>
      </c>
    </row>
    <row r="70" spans="1:25" s="496" customFormat="1" ht="12.75">
      <c r="A70" s="671" t="s">
        <v>1143</v>
      </c>
      <c r="B70" s="645">
        <v>5.183</v>
      </c>
      <c r="C70" s="732">
        <v>5968.005</v>
      </c>
      <c r="D70" s="657">
        <f>ROUND(B70*C70,2)</f>
        <v>30932.17</v>
      </c>
      <c r="E70" s="665">
        <v>0</v>
      </c>
      <c r="F70" s="646">
        <v>1719.76</v>
      </c>
      <c r="G70" s="673">
        <f>E70*F70</f>
        <v>0</v>
      </c>
      <c r="H70" s="730">
        <v>4.68</v>
      </c>
      <c r="I70" s="646">
        <f>1457.42*1.18</f>
        <v>1719.7556</v>
      </c>
      <c r="J70" s="647">
        <v>8048.46</v>
      </c>
      <c r="K70" s="730">
        <v>63.67</v>
      </c>
      <c r="L70" s="732">
        <v>41.288</v>
      </c>
      <c r="M70" s="647">
        <v>2628.82</v>
      </c>
      <c r="N70" s="675">
        <f>G70+M70+J70</f>
        <v>10677.28</v>
      </c>
      <c r="O70" s="645">
        <v>266.42</v>
      </c>
      <c r="P70" s="732">
        <f>12.71*1.18</f>
        <v>14.9978</v>
      </c>
      <c r="Q70" s="647">
        <f>ROUND((O70*P70)+0.01,3)</f>
        <v>3995.724</v>
      </c>
      <c r="R70" s="645">
        <v>330.09</v>
      </c>
      <c r="S70" s="732">
        <v>16.1424</v>
      </c>
      <c r="T70" s="647">
        <f>ROUND((R70*S70)-0.01,3)</f>
        <v>5328.435</v>
      </c>
      <c r="U70" s="665"/>
      <c r="V70" s="676"/>
      <c r="W70" s="657">
        <f>U70*V70</f>
        <v>0</v>
      </c>
      <c r="X70" s="677">
        <f>Q70+T70+W70</f>
        <v>9324.159</v>
      </c>
      <c r="Y70" s="678">
        <f>D70+N70+X70</f>
        <v>50933.609</v>
      </c>
    </row>
    <row r="71" spans="1:25" s="496" customFormat="1" ht="12.75">
      <c r="A71" s="671" t="s">
        <v>1144</v>
      </c>
      <c r="B71" s="665">
        <v>6.201</v>
      </c>
      <c r="C71" s="732">
        <v>5988.535</v>
      </c>
      <c r="D71" s="657">
        <f>B71*C71</f>
        <v>37134.905535</v>
      </c>
      <c r="E71" s="665">
        <v>0</v>
      </c>
      <c r="F71" s="646">
        <v>1719.76</v>
      </c>
      <c r="G71" s="673">
        <f>E71*F71</f>
        <v>0</v>
      </c>
      <c r="H71" s="668">
        <v>11.47</v>
      </c>
      <c r="I71" s="646">
        <f>1457.42*1.18</f>
        <v>1719.7556</v>
      </c>
      <c r="J71" s="674">
        <f>H71*I71</f>
        <v>19725.596732</v>
      </c>
      <c r="K71" s="681">
        <v>163.75</v>
      </c>
      <c r="L71" s="732">
        <v>41.288</v>
      </c>
      <c r="M71" s="647">
        <v>6760.94</v>
      </c>
      <c r="N71" s="675">
        <f>G71+M71+J71</f>
        <v>26486.536732</v>
      </c>
      <c r="O71" s="665">
        <v>180.42</v>
      </c>
      <c r="P71" s="732">
        <v>14.9978</v>
      </c>
      <c r="Q71" s="647">
        <f>ROUND((O71*P71)+0.01,3)</f>
        <v>2705.913</v>
      </c>
      <c r="R71" s="665">
        <v>344.17</v>
      </c>
      <c r="S71" s="732">
        <v>16.1425</v>
      </c>
      <c r="T71" s="647">
        <f>ROUND((R71*S71)-0.02,3)</f>
        <v>5555.744</v>
      </c>
      <c r="U71" s="665"/>
      <c r="V71" s="676"/>
      <c r="W71" s="657">
        <f>U71*V71</f>
        <v>0</v>
      </c>
      <c r="X71" s="677">
        <f>Q71+T71+W71</f>
        <v>8261.657</v>
      </c>
      <c r="Y71" s="678">
        <f>D71+N71+X71</f>
        <v>71883.099267</v>
      </c>
    </row>
    <row r="72" spans="1:25" s="496" customFormat="1" ht="12.75">
      <c r="A72" s="671" t="s">
        <v>1145</v>
      </c>
      <c r="B72" s="665">
        <v>6.191</v>
      </c>
      <c r="C72" s="732">
        <v>6112.115</v>
      </c>
      <c r="D72" s="657">
        <f>B72*C72+0.01</f>
        <v>37840.113965</v>
      </c>
      <c r="E72" s="665">
        <v>0</v>
      </c>
      <c r="F72" s="646">
        <v>1719.76</v>
      </c>
      <c r="G72" s="673">
        <f>E72*F72</f>
        <v>0</v>
      </c>
      <c r="H72" s="668">
        <v>46.15</v>
      </c>
      <c r="I72" s="646">
        <f>1457.42*1.18</f>
        <v>1719.7556</v>
      </c>
      <c r="J72" s="674">
        <f>H72*I72</f>
        <v>79366.72094</v>
      </c>
      <c r="K72" s="681">
        <v>96.19</v>
      </c>
      <c r="L72" s="732">
        <v>41.288</v>
      </c>
      <c r="M72" s="647">
        <v>3971.51</v>
      </c>
      <c r="N72" s="675">
        <f>G72+M72+J72</f>
        <v>83338.23094</v>
      </c>
      <c r="O72" s="665">
        <v>278.2</v>
      </c>
      <c r="P72" s="732">
        <v>14.9978</v>
      </c>
      <c r="Q72" s="647">
        <f>ROUND((O72*P72),3)</f>
        <v>4172.388</v>
      </c>
      <c r="R72" s="665">
        <v>374.39</v>
      </c>
      <c r="S72" s="732">
        <v>16.14243</v>
      </c>
      <c r="T72" s="647">
        <f>ROUND((R72*S72),3)</f>
        <v>6043.564</v>
      </c>
      <c r="U72" s="665"/>
      <c r="V72" s="676"/>
      <c r="W72" s="657">
        <f>U72*V72</f>
        <v>0</v>
      </c>
      <c r="X72" s="677">
        <f>Q72+T72+W72</f>
        <v>10215.952000000001</v>
      </c>
      <c r="Y72" s="678">
        <f>D72+N72+X72</f>
        <v>131394.296905</v>
      </c>
    </row>
    <row r="73" spans="1:25" s="496" customFormat="1" ht="22.5">
      <c r="A73" s="812" t="s">
        <v>1146</v>
      </c>
      <c r="B73" s="681">
        <f>B70+B71+B72</f>
        <v>17.575</v>
      </c>
      <c r="C73" s="735"/>
      <c r="D73" s="801">
        <f>D70+D71+D72</f>
        <v>105907.1895</v>
      </c>
      <c r="E73" s="665">
        <f>E70+E71+E72</f>
        <v>0</v>
      </c>
      <c r="F73" s="668"/>
      <c r="G73" s="809">
        <f>G70+G71+G72</f>
        <v>0</v>
      </c>
      <c r="H73" s="668">
        <f>H70+H71+H72</f>
        <v>62.3</v>
      </c>
      <c r="I73" s="668"/>
      <c r="J73" s="674">
        <f>J70+J71+J72</f>
        <v>107140.777672</v>
      </c>
      <c r="K73" s="681">
        <f>K70+K71+K72</f>
        <v>323.61</v>
      </c>
      <c r="L73" s="735"/>
      <c r="M73" s="667">
        <f>M70+M71+M72</f>
        <v>13361.27</v>
      </c>
      <c r="N73" s="804">
        <f>N70+N71+N72</f>
        <v>120502.04767199999</v>
      </c>
      <c r="O73" s="681">
        <f>O70+O71+O72</f>
        <v>725.04</v>
      </c>
      <c r="P73" s="735"/>
      <c r="Q73" s="667">
        <f>Q70+Q71+Q72</f>
        <v>10874.025000000001</v>
      </c>
      <c r="R73" s="681">
        <f>R70+R71+R72</f>
        <v>1048.65</v>
      </c>
      <c r="S73" s="735"/>
      <c r="T73" s="667">
        <f>T70+T71+T72</f>
        <v>16927.743000000002</v>
      </c>
      <c r="U73" s="665">
        <f>U70+U71+U72</f>
        <v>0</v>
      </c>
      <c r="V73" s="668"/>
      <c r="W73" s="667">
        <f>W70+W71+W72</f>
        <v>0</v>
      </c>
      <c r="X73" s="741">
        <f>X70+X71+X72</f>
        <v>27801.768</v>
      </c>
      <c r="Y73" s="813">
        <f>Y70+Y71+Y72</f>
        <v>254211.00517199998</v>
      </c>
    </row>
    <row r="74" spans="1:25" s="496" customFormat="1" ht="12.75">
      <c r="A74" s="671" t="s">
        <v>1147</v>
      </c>
      <c r="B74" s="645">
        <v>6.144</v>
      </c>
      <c r="C74" s="732">
        <v>6462.257</v>
      </c>
      <c r="D74" s="657">
        <f>B74*C74</f>
        <v>39704.107008</v>
      </c>
      <c r="E74" s="665">
        <v>40.15</v>
      </c>
      <c r="F74" s="646">
        <f>1457.42*1.18</f>
        <v>1719.7556</v>
      </c>
      <c r="G74" s="673">
        <f>E74*F74-0.01</f>
        <v>69048.17734</v>
      </c>
      <c r="H74" s="668">
        <v>7.53</v>
      </c>
      <c r="I74" s="646">
        <f>1457.42*1.18</f>
        <v>1719.7556</v>
      </c>
      <c r="J74" s="674">
        <f>H74*I74</f>
        <v>12949.759668</v>
      </c>
      <c r="K74" s="730">
        <v>123.99</v>
      </c>
      <c r="L74" s="732">
        <v>41.288</v>
      </c>
      <c r="M74" s="647">
        <v>5119.32</v>
      </c>
      <c r="N74" s="675">
        <f>G74+M74+J74</f>
        <v>87117.257008</v>
      </c>
      <c r="O74" s="645">
        <v>72.41</v>
      </c>
      <c r="P74" s="732">
        <v>14.9977</v>
      </c>
      <c r="Q74" s="647">
        <f>ROUND((O74*P74),3)</f>
        <v>1085.983</v>
      </c>
      <c r="R74" s="645">
        <v>196.4</v>
      </c>
      <c r="S74" s="732">
        <v>16.1422</v>
      </c>
      <c r="T74" s="647">
        <f>ROUND((R74*S74)+0.01,3)</f>
        <v>3170.338</v>
      </c>
      <c r="U74" s="665"/>
      <c r="V74" s="676"/>
      <c r="W74" s="657">
        <f>U74*V74</f>
        <v>0</v>
      </c>
      <c r="X74" s="677">
        <f>Q74+T74+W74</f>
        <v>4256.321</v>
      </c>
      <c r="Y74" s="678">
        <f>D74+N74+X74</f>
        <v>131077.685016</v>
      </c>
    </row>
    <row r="75" spans="1:25" s="496" customFormat="1" ht="12.75">
      <c r="A75" s="814" t="s">
        <v>1148</v>
      </c>
      <c r="B75" s="665">
        <v>5.628</v>
      </c>
      <c r="C75" s="732">
        <v>6490.79</v>
      </c>
      <c r="D75" s="657">
        <f>B75*C75</f>
        <v>36530.16612</v>
      </c>
      <c r="E75" s="665">
        <v>57.13</v>
      </c>
      <c r="F75" s="646">
        <f>1457.42*1.18</f>
        <v>1719.7556</v>
      </c>
      <c r="G75" s="673">
        <f>E75*F75-0.01</f>
        <v>98249.627428</v>
      </c>
      <c r="H75" s="668">
        <v>7.87</v>
      </c>
      <c r="I75" s="646">
        <f>1457.42*1.18</f>
        <v>1719.7556</v>
      </c>
      <c r="J75" s="674">
        <f>H75*I75</f>
        <v>13534.476572</v>
      </c>
      <c r="K75" s="681">
        <v>113.6</v>
      </c>
      <c r="L75" s="732">
        <v>41.288</v>
      </c>
      <c r="M75" s="647">
        <v>4690.33</v>
      </c>
      <c r="N75" s="675">
        <f>G75+M75+J75</f>
        <v>116474.43400000001</v>
      </c>
      <c r="O75" s="665">
        <v>438.14</v>
      </c>
      <c r="P75" s="732">
        <v>14.9978</v>
      </c>
      <c r="Q75" s="647">
        <f>ROUND((O75*P75),3)</f>
        <v>6571.136</v>
      </c>
      <c r="R75" s="665">
        <v>551.74</v>
      </c>
      <c r="S75" s="732">
        <v>16.1424</v>
      </c>
      <c r="T75" s="647">
        <f>ROUND((R75*S75)-0.01,3)</f>
        <v>8906.398</v>
      </c>
      <c r="U75" s="665"/>
      <c r="V75" s="676"/>
      <c r="W75" s="657">
        <f>U75*V75</f>
        <v>0</v>
      </c>
      <c r="X75" s="677">
        <f>Q75+T75+W75</f>
        <v>15477.534</v>
      </c>
      <c r="Y75" s="678">
        <f>D75+N75+X75</f>
        <v>168482.13412</v>
      </c>
    </row>
    <row r="76" spans="1:25" s="496" customFormat="1" ht="12.75">
      <c r="A76" s="815" t="s">
        <v>1149</v>
      </c>
      <c r="B76" s="665">
        <v>6.478</v>
      </c>
      <c r="C76" s="732">
        <v>6409.984</v>
      </c>
      <c r="D76" s="657">
        <f>B76*C76</f>
        <v>41523.876352</v>
      </c>
      <c r="E76" s="665">
        <v>71.78</v>
      </c>
      <c r="F76" s="646">
        <f>1457.42*1.18</f>
        <v>1719.7556</v>
      </c>
      <c r="G76" s="673">
        <f>E76*F76</f>
        <v>123444.056968</v>
      </c>
      <c r="H76" s="668">
        <v>10.05</v>
      </c>
      <c r="I76" s="646">
        <f>1457.42*1.18</f>
        <v>1719.7556</v>
      </c>
      <c r="J76" s="674">
        <f>H76*I76</f>
        <v>17283.54378</v>
      </c>
      <c r="K76" s="681">
        <v>170.11</v>
      </c>
      <c r="L76" s="732">
        <v>41.289</v>
      </c>
      <c r="M76" s="647">
        <v>7023.71</v>
      </c>
      <c r="N76" s="675">
        <f>G76+M76+J76</f>
        <v>147751.31074800002</v>
      </c>
      <c r="O76" s="665">
        <v>219.57</v>
      </c>
      <c r="P76" s="732">
        <v>14.9977</v>
      </c>
      <c r="Q76" s="647">
        <f>ROUND((O76*P76)-0.01,3)</f>
        <v>3293.035</v>
      </c>
      <c r="R76" s="665">
        <v>389.68</v>
      </c>
      <c r="S76" s="732">
        <v>16.1424</v>
      </c>
      <c r="T76" s="647">
        <f>ROUND((R76*S76),3)</f>
        <v>6290.37</v>
      </c>
      <c r="U76" s="665"/>
      <c r="V76" s="676"/>
      <c r="W76" s="657">
        <f>U76*V76</f>
        <v>0</v>
      </c>
      <c r="X76" s="677">
        <f>Q76+T76+W76</f>
        <v>9583.404999999999</v>
      </c>
      <c r="Y76" s="678">
        <f>D76+N76+X76</f>
        <v>198858.5921</v>
      </c>
    </row>
    <row r="77" spans="1:25" s="496" customFormat="1" ht="23.25" thickBot="1">
      <c r="A77" s="816" t="s">
        <v>1150</v>
      </c>
      <c r="B77" s="744">
        <f>B74+B75+B76</f>
        <v>18.25</v>
      </c>
      <c r="C77" s="694"/>
      <c r="D77" s="802">
        <f>D74+D75+D76</f>
        <v>117758.14948</v>
      </c>
      <c r="E77" s="693">
        <f>E74+E75+E76</f>
        <v>169.06</v>
      </c>
      <c r="F77" s="694"/>
      <c r="G77" s="810">
        <f>G74+G75+G76</f>
        <v>290741.861736</v>
      </c>
      <c r="H77" s="668">
        <f>H74+H75+H76</f>
        <v>25.450000000000003</v>
      </c>
      <c r="I77" s="668"/>
      <c r="J77" s="674">
        <f>J74+J75+J76</f>
        <v>43767.78002</v>
      </c>
      <c r="K77" s="744">
        <f>K74+K75+K76</f>
        <v>407.7</v>
      </c>
      <c r="L77" s="694"/>
      <c r="M77" s="695">
        <f>M74+M75+M76</f>
        <v>16833.36</v>
      </c>
      <c r="N77" s="805">
        <f>N74+N75+N76</f>
        <v>351343.001756</v>
      </c>
      <c r="O77" s="744">
        <f>O74+O75+O76</f>
        <v>730.1199999999999</v>
      </c>
      <c r="P77" s="694"/>
      <c r="Q77" s="695">
        <f>Q74+Q75+Q76</f>
        <v>10950.154</v>
      </c>
      <c r="R77" s="744">
        <f>R74+R75+R76</f>
        <v>1137.82</v>
      </c>
      <c r="S77" s="694"/>
      <c r="T77" s="695">
        <f>T74+T75+T76</f>
        <v>18367.106</v>
      </c>
      <c r="U77" s="693">
        <f>U74+U75+U76</f>
        <v>0</v>
      </c>
      <c r="V77" s="694"/>
      <c r="W77" s="695">
        <f>W74+W75+W76</f>
        <v>0</v>
      </c>
      <c r="X77" s="746">
        <f>X74+X75+X76</f>
        <v>29317.26</v>
      </c>
      <c r="Y77" s="817">
        <f>Y74+Y75+Y76</f>
        <v>498418.411236</v>
      </c>
    </row>
    <row r="78" spans="1:25" s="617" customFormat="1" ht="13.5" thickBot="1">
      <c r="A78" s="698" t="s">
        <v>695</v>
      </c>
      <c r="B78" s="699">
        <f>B77+B73+B69+B65</f>
        <v>70.517</v>
      </c>
      <c r="C78" s="699">
        <f>D78/B78</f>
        <v>5869.380058227095</v>
      </c>
      <c r="D78" s="699">
        <f>D77+D73+D69+D65</f>
        <v>413891.07356600004</v>
      </c>
      <c r="E78" s="701">
        <f>E77+E73+E69+E65</f>
        <v>353.79</v>
      </c>
      <c r="F78" s="701">
        <f>G78/E78</f>
        <v>1500.0736186833994</v>
      </c>
      <c r="G78" s="701">
        <f>G77+G73+G69+G65</f>
        <v>530711.045554</v>
      </c>
      <c r="H78" s="811">
        <f>H65+H69+H73+H77</f>
        <v>137.91</v>
      </c>
      <c r="I78" s="811">
        <f>J78/H78</f>
        <v>1566.7299829453991</v>
      </c>
      <c r="J78" s="811">
        <f>J65+J69+J73+J77</f>
        <v>216067.73194799997</v>
      </c>
      <c r="K78" s="699">
        <f>K77+K73+K69+K65</f>
        <v>1430.86</v>
      </c>
      <c r="L78" s="699">
        <f>M78/K78</f>
        <v>36.592301133584</v>
      </c>
      <c r="M78" s="699">
        <f>M77+M73+M69+M65</f>
        <v>52358.46</v>
      </c>
      <c r="N78" s="699">
        <f>N77+N73+N69+N65</f>
        <v>799137.237502</v>
      </c>
      <c r="O78" s="701">
        <f>O77+O73+O69+O65</f>
        <v>2755.85</v>
      </c>
      <c r="P78" s="701">
        <f>Q78/O78</f>
        <v>14.724426946314207</v>
      </c>
      <c r="Q78" s="701">
        <f>Q77+Q73+Q69+Q65</f>
        <v>40578.312000000005</v>
      </c>
      <c r="R78" s="701">
        <f>R77+R73+R69+R65</f>
        <v>4216.9400000000005</v>
      </c>
      <c r="S78" s="701">
        <f>T78/R78</f>
        <v>15.841264518821706</v>
      </c>
      <c r="T78" s="701">
        <f>T77+T73+T69+T65</f>
        <v>66801.66200000001</v>
      </c>
      <c r="U78" s="699">
        <f>U77+U73+U69+U65</f>
        <v>0</v>
      </c>
      <c r="V78" s="699"/>
      <c r="W78" s="699">
        <f>W77+W73+W69+W65</f>
        <v>0</v>
      </c>
      <c r="X78" s="699">
        <f>X77+X73+X69+X65</f>
        <v>107379.97399999999</v>
      </c>
      <c r="Y78" s="699">
        <f>Y77+Y73+Y69+Y65</f>
        <v>1320408.285068</v>
      </c>
    </row>
    <row r="81" ht="13.5" thickBot="1"/>
    <row r="82" spans="1:25" s="617" customFormat="1" ht="16.5" thickBot="1">
      <c r="A82" s="897" t="s">
        <v>1163</v>
      </c>
      <c r="B82" s="898"/>
      <c r="C82" s="898"/>
      <c r="D82" s="898"/>
      <c r="E82" s="898"/>
      <c r="F82" s="898"/>
      <c r="G82" s="898"/>
      <c r="H82" s="898"/>
      <c r="I82" s="898"/>
      <c r="J82" s="898"/>
      <c r="K82" s="898"/>
      <c r="L82" s="898"/>
      <c r="M82" s="898"/>
      <c r="N82" s="898"/>
      <c r="O82" s="898"/>
      <c r="P82" s="898"/>
      <c r="Q82" s="898"/>
      <c r="R82" s="898"/>
      <c r="S82" s="898"/>
      <c r="T82" s="898"/>
      <c r="U82" s="898"/>
      <c r="V82" s="898"/>
      <c r="W82" s="898"/>
      <c r="X82" s="898"/>
      <c r="Y82" s="899"/>
    </row>
    <row r="83" spans="1:25" s="617" customFormat="1" ht="13.5" customHeight="1" thickBot="1">
      <c r="A83" s="900" t="s">
        <v>1118</v>
      </c>
      <c r="B83" s="864" t="s">
        <v>1119</v>
      </c>
      <c r="C83" s="865"/>
      <c r="D83" s="867"/>
      <c r="E83" s="864" t="s">
        <v>1120</v>
      </c>
      <c r="F83" s="865"/>
      <c r="G83" s="865"/>
      <c r="H83" s="866"/>
      <c r="I83" s="866"/>
      <c r="J83" s="866"/>
      <c r="K83" s="865"/>
      <c r="L83" s="865"/>
      <c r="M83" s="867"/>
      <c r="N83" s="868" t="s">
        <v>1121</v>
      </c>
      <c r="O83" s="883" t="s">
        <v>1122</v>
      </c>
      <c r="P83" s="884"/>
      <c r="Q83" s="885"/>
      <c r="R83" s="889" t="s">
        <v>1123</v>
      </c>
      <c r="S83" s="890"/>
      <c r="T83" s="890"/>
      <c r="U83" s="890"/>
      <c r="V83" s="890"/>
      <c r="W83" s="891"/>
      <c r="X83" s="868" t="s">
        <v>1124</v>
      </c>
      <c r="Y83" s="892" t="s">
        <v>1125</v>
      </c>
    </row>
    <row r="84" spans="1:25" s="617" customFormat="1" ht="13.5" customHeight="1" thickBot="1">
      <c r="A84" s="901"/>
      <c r="B84" s="870" t="s">
        <v>1126</v>
      </c>
      <c r="C84" s="871"/>
      <c r="D84" s="872"/>
      <c r="E84" s="873" t="s">
        <v>1120</v>
      </c>
      <c r="F84" s="874"/>
      <c r="G84" s="875"/>
      <c r="H84" s="873" t="s">
        <v>1127</v>
      </c>
      <c r="I84" s="874"/>
      <c r="J84" s="875"/>
      <c r="K84" s="873" t="s">
        <v>1128</v>
      </c>
      <c r="L84" s="874"/>
      <c r="M84" s="875"/>
      <c r="N84" s="869"/>
      <c r="O84" s="886"/>
      <c r="P84" s="887"/>
      <c r="Q84" s="888"/>
      <c r="R84" s="876" t="s">
        <v>654</v>
      </c>
      <c r="S84" s="877"/>
      <c r="T84" s="878"/>
      <c r="U84" s="894" t="s">
        <v>1129</v>
      </c>
      <c r="V84" s="895"/>
      <c r="W84" s="896"/>
      <c r="X84" s="869"/>
      <c r="Y84" s="893"/>
    </row>
    <row r="85" spans="1:25" s="617" customFormat="1" ht="21">
      <c r="A85" s="901"/>
      <c r="B85" s="618" t="s">
        <v>1130</v>
      </c>
      <c r="C85" s="619" t="s">
        <v>1131</v>
      </c>
      <c r="D85" s="620" t="s">
        <v>295</v>
      </c>
      <c r="E85" s="621" t="s">
        <v>1132</v>
      </c>
      <c r="F85" s="622" t="s">
        <v>1133</v>
      </c>
      <c r="G85" s="623" t="s">
        <v>295</v>
      </c>
      <c r="H85" s="618" t="s">
        <v>1132</v>
      </c>
      <c r="I85" s="622" t="s">
        <v>1133</v>
      </c>
      <c r="J85" s="623" t="s">
        <v>295</v>
      </c>
      <c r="K85" s="618" t="s">
        <v>1134</v>
      </c>
      <c r="L85" s="619" t="s">
        <v>1133</v>
      </c>
      <c r="M85" s="624" t="s">
        <v>295</v>
      </c>
      <c r="N85" s="869"/>
      <c r="O85" s="625" t="s">
        <v>1134</v>
      </c>
      <c r="P85" s="626" t="s">
        <v>1133</v>
      </c>
      <c r="Q85" s="627" t="s">
        <v>295</v>
      </c>
      <c r="R85" s="625" t="s">
        <v>1134</v>
      </c>
      <c r="S85" s="626" t="s">
        <v>1133</v>
      </c>
      <c r="T85" s="627" t="s">
        <v>295</v>
      </c>
      <c r="U85" s="628" t="s">
        <v>1134</v>
      </c>
      <c r="V85" s="629" t="s">
        <v>1133</v>
      </c>
      <c r="W85" s="630" t="s">
        <v>295</v>
      </c>
      <c r="X85" s="869"/>
      <c r="Y85" s="893"/>
    </row>
    <row r="86" spans="1:25" s="633" customFormat="1" ht="9">
      <c r="A86" s="631">
        <v>1</v>
      </c>
      <c r="B86" s="631">
        <v>2</v>
      </c>
      <c r="C86" s="631">
        <v>3</v>
      </c>
      <c r="D86" s="631">
        <v>4</v>
      </c>
      <c r="E86" s="631">
        <v>6</v>
      </c>
      <c r="F86" s="631">
        <v>7</v>
      </c>
      <c r="G86" s="631">
        <v>8</v>
      </c>
      <c r="H86" s="631">
        <v>9</v>
      </c>
      <c r="I86" s="631">
        <v>10</v>
      </c>
      <c r="J86" s="631">
        <v>11</v>
      </c>
      <c r="K86" s="631">
        <v>12</v>
      </c>
      <c r="L86" s="631">
        <v>13</v>
      </c>
      <c r="M86" s="631">
        <v>14</v>
      </c>
      <c r="N86" s="631">
        <v>15</v>
      </c>
      <c r="O86" s="632">
        <v>16</v>
      </c>
      <c r="P86" s="632">
        <v>17</v>
      </c>
      <c r="Q86" s="632">
        <v>18</v>
      </c>
      <c r="R86" s="632">
        <v>19</v>
      </c>
      <c r="S86" s="632">
        <v>20</v>
      </c>
      <c r="T86" s="632">
        <v>21</v>
      </c>
      <c r="U86" s="631">
        <v>22</v>
      </c>
      <c r="V86" s="631">
        <v>23</v>
      </c>
      <c r="W86" s="631">
        <v>24</v>
      </c>
      <c r="X86" s="631">
        <v>25</v>
      </c>
      <c r="Y86" s="631">
        <v>26</v>
      </c>
    </row>
    <row r="87" spans="1:25" s="617" customFormat="1" ht="12.75">
      <c r="A87" s="634" t="s">
        <v>1135</v>
      </c>
      <c r="B87" s="635">
        <v>5.55</v>
      </c>
      <c r="C87" s="636">
        <v>6608.223</v>
      </c>
      <c r="D87" s="637">
        <f>B87*C87</f>
        <v>36675.63765</v>
      </c>
      <c r="E87" s="638">
        <v>38.26</v>
      </c>
      <c r="F87" s="639">
        <f>1457.42*1.18</f>
        <v>1719.7556</v>
      </c>
      <c r="G87" s="640">
        <f>E87*F87</f>
        <v>65797.849256</v>
      </c>
      <c r="H87" s="641">
        <v>5.84</v>
      </c>
      <c r="I87" s="639">
        <f>1457.42*1.18</f>
        <v>1719.7556</v>
      </c>
      <c r="J87" s="642">
        <f>H87*I87</f>
        <v>10043.372704</v>
      </c>
      <c r="K87" s="643">
        <v>63.39</v>
      </c>
      <c r="L87" s="639">
        <f>34.59*1.18</f>
        <v>40.8162</v>
      </c>
      <c r="M87" s="637">
        <v>2587.34</v>
      </c>
      <c r="N87" s="644">
        <f>G87+M87+J87</f>
        <v>78428.56195999999</v>
      </c>
      <c r="O87" s="645">
        <v>336.08</v>
      </c>
      <c r="P87" s="646">
        <f>12.71*1.18</f>
        <v>14.9978</v>
      </c>
      <c r="Q87" s="647">
        <f>O87*P87</f>
        <v>5040.460623999999</v>
      </c>
      <c r="R87" s="645">
        <v>399.47</v>
      </c>
      <c r="S87" s="648">
        <f>13.68*1.18</f>
        <v>16.1424</v>
      </c>
      <c r="T87" s="647">
        <f>R87*S87</f>
        <v>6448.404528</v>
      </c>
      <c r="U87" s="635"/>
      <c r="V87" s="649"/>
      <c r="W87" s="637">
        <f>U87*V87</f>
        <v>0</v>
      </c>
      <c r="X87" s="644">
        <f>Q87+T87+W87</f>
        <v>11488.865151999998</v>
      </c>
      <c r="Y87" s="650">
        <f>D87+N87+X87</f>
        <v>126593.06476199998</v>
      </c>
    </row>
    <row r="88" spans="1:25" s="617" customFormat="1" ht="12.75">
      <c r="A88" s="651" t="s">
        <v>1136</v>
      </c>
      <c r="B88" s="652">
        <v>6.196</v>
      </c>
      <c r="C88" s="636">
        <v>6704.394</v>
      </c>
      <c r="D88" s="637">
        <f>B88*C88</f>
        <v>41540.425224</v>
      </c>
      <c r="E88" s="638">
        <v>58</v>
      </c>
      <c r="F88" s="639">
        <f>1457.42*1.18</f>
        <v>1719.7556</v>
      </c>
      <c r="G88" s="653">
        <f>E88*F88</f>
        <v>99745.8248</v>
      </c>
      <c r="H88" s="641">
        <v>8.2</v>
      </c>
      <c r="I88" s="639">
        <f>1457.42*1.18</f>
        <v>1719.7556</v>
      </c>
      <c r="J88" s="642">
        <f>H88*I88</f>
        <v>14101.995919999998</v>
      </c>
      <c r="K88" s="654">
        <v>116.17</v>
      </c>
      <c r="L88" s="639">
        <f aca="true" t="shared" si="5" ref="L88:L93">34.59*1.18</f>
        <v>40.8162</v>
      </c>
      <c r="M88" s="655">
        <v>4741.62</v>
      </c>
      <c r="N88" s="644">
        <f>G88+M88+J88</f>
        <v>118589.44072</v>
      </c>
      <c r="O88" s="656">
        <v>294.58</v>
      </c>
      <c r="P88" s="646">
        <f>12.71*1.18</f>
        <v>14.9978</v>
      </c>
      <c r="Q88" s="657">
        <f>O88*P88</f>
        <v>4418.051923999999</v>
      </c>
      <c r="R88" s="645">
        <v>410.75</v>
      </c>
      <c r="S88" s="648">
        <f>13.68*1.18</f>
        <v>16.1424</v>
      </c>
      <c r="T88" s="657">
        <f>R88*S88</f>
        <v>6630.4908</v>
      </c>
      <c r="U88" s="635"/>
      <c r="V88" s="649"/>
      <c r="W88" s="655">
        <f>U88*V88</f>
        <v>0</v>
      </c>
      <c r="X88" s="644">
        <f>Q88+T88+W88</f>
        <v>11048.542723999999</v>
      </c>
      <c r="Y88" s="650">
        <f aca="true" t="shared" si="6" ref="Y88:Y101">D88+N88+X88</f>
        <v>171178.408668</v>
      </c>
    </row>
    <row r="89" spans="1:25" s="617" customFormat="1" ht="12.75">
      <c r="A89" s="651" t="s">
        <v>1137</v>
      </c>
      <c r="B89" s="652">
        <v>5.367</v>
      </c>
      <c r="C89" s="636">
        <v>6282.414</v>
      </c>
      <c r="D89" s="637">
        <f>B89*C89</f>
        <v>33717.715938</v>
      </c>
      <c r="E89" s="638">
        <v>42.07</v>
      </c>
      <c r="F89" s="639">
        <f>1457.42*1.18</f>
        <v>1719.7556</v>
      </c>
      <c r="G89" s="653">
        <f>E89*F89</f>
        <v>72350.118092</v>
      </c>
      <c r="H89" s="658">
        <v>7.4</v>
      </c>
      <c r="I89" s="639">
        <f>1457.42*1.18</f>
        <v>1719.7556</v>
      </c>
      <c r="J89" s="642">
        <f>H89*I89</f>
        <v>12726.19144</v>
      </c>
      <c r="K89" s="654">
        <v>119.36</v>
      </c>
      <c r="L89" s="639">
        <f t="shared" si="5"/>
        <v>40.8162</v>
      </c>
      <c r="M89" s="655">
        <f>K89*L89</f>
        <v>4871.821632</v>
      </c>
      <c r="N89" s="644">
        <f>G89+M89+J89</f>
        <v>89948.131164</v>
      </c>
      <c r="O89" s="656">
        <v>224.81</v>
      </c>
      <c r="P89" s="646">
        <f>12.71*1.18</f>
        <v>14.9978</v>
      </c>
      <c r="Q89" s="657">
        <f>O89*P89</f>
        <v>3371.655418</v>
      </c>
      <c r="R89" s="645">
        <v>285.12</v>
      </c>
      <c r="S89" s="648">
        <f>13.68*1.18</f>
        <v>16.1424</v>
      </c>
      <c r="T89" s="657">
        <f>R89*S89</f>
        <v>4602.5210879999995</v>
      </c>
      <c r="U89" s="635"/>
      <c r="V89" s="649"/>
      <c r="W89" s="655">
        <f>U89*V89</f>
        <v>0</v>
      </c>
      <c r="X89" s="644">
        <f>Q89+T89+W89</f>
        <v>7974.176506</v>
      </c>
      <c r="Y89" s="650">
        <f t="shared" si="6"/>
        <v>131640.023608</v>
      </c>
    </row>
    <row r="90" spans="1:25" s="617" customFormat="1" ht="22.5">
      <c r="A90" s="659" t="s">
        <v>1138</v>
      </c>
      <c r="B90" s="652">
        <f>B87+B88+B89</f>
        <v>17.113</v>
      </c>
      <c r="C90" s="642"/>
      <c r="D90" s="660">
        <f aca="true" t="shared" si="7" ref="D90:Y90">D87+D88+D89</f>
        <v>111933.778812</v>
      </c>
      <c r="E90" s="652">
        <f t="shared" si="7"/>
        <v>138.32999999999998</v>
      </c>
      <c r="F90" s="658"/>
      <c r="G90" s="661">
        <f t="shared" si="7"/>
        <v>237893.79214800004</v>
      </c>
      <c r="H90" s="658">
        <f>H87+H88+H89</f>
        <v>21.439999999999998</v>
      </c>
      <c r="I90" s="658"/>
      <c r="J90" s="642">
        <f>J87+J88+J89</f>
        <v>36871.560064</v>
      </c>
      <c r="K90" s="662">
        <f t="shared" si="7"/>
        <v>298.92</v>
      </c>
      <c r="L90" s="639"/>
      <c r="M90" s="663">
        <f t="shared" si="7"/>
        <v>12200.781632</v>
      </c>
      <c r="N90" s="664">
        <f>N87+N88+N89</f>
        <v>286966.133844</v>
      </c>
      <c r="O90" s="665">
        <f t="shared" si="7"/>
        <v>855.47</v>
      </c>
      <c r="P90" s="666"/>
      <c r="Q90" s="667">
        <f t="shared" si="7"/>
        <v>12830.167965999999</v>
      </c>
      <c r="R90" s="665">
        <f t="shared" si="7"/>
        <v>1095.3400000000001</v>
      </c>
      <c r="S90" s="668"/>
      <c r="T90" s="667">
        <f t="shared" si="7"/>
        <v>17681.416416</v>
      </c>
      <c r="U90" s="652">
        <f t="shared" si="7"/>
        <v>0</v>
      </c>
      <c r="V90" s="658"/>
      <c r="W90" s="663">
        <f t="shared" si="7"/>
        <v>0</v>
      </c>
      <c r="X90" s="669">
        <f t="shared" si="7"/>
        <v>30511.584381999997</v>
      </c>
      <c r="Y90" s="670">
        <f t="shared" si="7"/>
        <v>429411.4970379999</v>
      </c>
    </row>
    <row r="91" spans="1:25" s="496" customFormat="1" ht="12.75">
      <c r="A91" s="671" t="s">
        <v>1139</v>
      </c>
      <c r="B91" s="652">
        <v>5.544</v>
      </c>
      <c r="C91" s="636">
        <v>6401.583</v>
      </c>
      <c r="D91" s="655">
        <f>B91*C91</f>
        <v>35490.376152</v>
      </c>
      <c r="E91" s="679">
        <v>40.24</v>
      </c>
      <c r="F91" s="639">
        <f>1457.42*1.18</f>
        <v>1719.7556</v>
      </c>
      <c r="G91" s="653">
        <f>E91*F91</f>
        <v>69202.965344</v>
      </c>
      <c r="H91" s="658">
        <v>8.44</v>
      </c>
      <c r="I91" s="639">
        <f>1457.42*1.18</f>
        <v>1719.7556</v>
      </c>
      <c r="J91" s="642">
        <f>H91*I91</f>
        <v>14514.737264</v>
      </c>
      <c r="K91" s="662">
        <v>139.54</v>
      </c>
      <c r="L91" s="639">
        <f t="shared" si="5"/>
        <v>40.8162</v>
      </c>
      <c r="M91" s="657">
        <v>5695.49</v>
      </c>
      <c r="N91" s="675">
        <f>G91+M91+J91</f>
        <v>89413.192608</v>
      </c>
      <c r="O91" s="665">
        <v>270.66</v>
      </c>
      <c r="P91" s="646">
        <f>12.71*1.18</f>
        <v>14.9978</v>
      </c>
      <c r="Q91" s="657">
        <v>4059.31</v>
      </c>
      <c r="R91" s="665">
        <v>410.2</v>
      </c>
      <c r="S91" s="648">
        <f>13.68*1.18</f>
        <v>16.1424</v>
      </c>
      <c r="T91" s="657">
        <f>R91*S91</f>
        <v>6621.612479999999</v>
      </c>
      <c r="U91" s="665"/>
      <c r="V91" s="676"/>
      <c r="W91" s="657">
        <f>U91*V91</f>
        <v>0</v>
      </c>
      <c r="X91" s="677">
        <f>Q91+T91+W91</f>
        <v>10680.92248</v>
      </c>
      <c r="Y91" s="678">
        <f t="shared" si="6"/>
        <v>135584.49124</v>
      </c>
    </row>
    <row r="92" spans="1:25" s="496" customFormat="1" ht="12.75">
      <c r="A92" s="671" t="s">
        <v>1140</v>
      </c>
      <c r="B92" s="679">
        <v>6.36</v>
      </c>
      <c r="C92" s="636">
        <v>5987.119</v>
      </c>
      <c r="D92" s="655">
        <f>B92*C92</f>
        <v>38078.07684</v>
      </c>
      <c r="E92" s="679">
        <v>22.8</v>
      </c>
      <c r="F92" s="639">
        <f>1457.42*1.18</f>
        <v>1719.7556</v>
      </c>
      <c r="G92" s="653">
        <f>E92*F92</f>
        <v>39210.42768</v>
      </c>
      <c r="H92" s="658">
        <v>5.29</v>
      </c>
      <c r="I92" s="639">
        <f>1457.42*1.18</f>
        <v>1719.7556</v>
      </c>
      <c r="J92" s="642">
        <f>H92*I92</f>
        <v>9097.507124</v>
      </c>
      <c r="K92" s="654">
        <v>88.7</v>
      </c>
      <c r="L92" s="639">
        <f t="shared" si="5"/>
        <v>40.8162</v>
      </c>
      <c r="M92" s="657">
        <v>3620.39</v>
      </c>
      <c r="N92" s="675">
        <f>G92+M92+J92</f>
        <v>51928.324804</v>
      </c>
      <c r="O92" s="796">
        <v>150.6</v>
      </c>
      <c r="P92" s="646">
        <f>12.71*1.18</f>
        <v>14.9978</v>
      </c>
      <c r="Q92" s="657">
        <f>O92*P92</f>
        <v>2258.6686799999998</v>
      </c>
      <c r="R92" s="665">
        <v>364.68</v>
      </c>
      <c r="S92" s="648">
        <f>13.68*1.18</f>
        <v>16.1424</v>
      </c>
      <c r="T92" s="657">
        <f>R92*S92</f>
        <v>5886.810431999999</v>
      </c>
      <c r="U92" s="665"/>
      <c r="V92" s="676"/>
      <c r="W92" s="657">
        <f>U92*V92</f>
        <v>0</v>
      </c>
      <c r="X92" s="677">
        <f>Q92+T92+W92</f>
        <v>8145.479111999999</v>
      </c>
      <c r="Y92" s="678">
        <f t="shared" si="6"/>
        <v>98151.880756</v>
      </c>
    </row>
    <row r="93" spans="1:25" s="496" customFormat="1" ht="12.75">
      <c r="A93" s="671" t="s">
        <v>1141</v>
      </c>
      <c r="B93" s="652">
        <v>5.445</v>
      </c>
      <c r="C93" s="636">
        <v>6027.004</v>
      </c>
      <c r="D93" s="655">
        <f>B93*C93</f>
        <v>32817.03678</v>
      </c>
      <c r="E93" s="679">
        <v>0</v>
      </c>
      <c r="F93" s="639">
        <f>1457.42*1.18</f>
        <v>1719.7556</v>
      </c>
      <c r="G93" s="653">
        <f>E93*F93</f>
        <v>0</v>
      </c>
      <c r="H93" s="658">
        <v>7.8</v>
      </c>
      <c r="I93" s="639">
        <f>1457.42*1.18</f>
        <v>1719.7556</v>
      </c>
      <c r="J93" s="642">
        <v>13431.29</v>
      </c>
      <c r="K93" s="654">
        <v>112.33</v>
      </c>
      <c r="L93" s="639">
        <f t="shared" si="5"/>
        <v>40.8162</v>
      </c>
      <c r="M93" s="657">
        <v>4584.88</v>
      </c>
      <c r="N93" s="675">
        <f>G93+M93+J93</f>
        <v>18016.170000000002</v>
      </c>
      <c r="O93" s="796">
        <v>228.65</v>
      </c>
      <c r="P93" s="646">
        <f>12.71*1.18</f>
        <v>14.9978</v>
      </c>
      <c r="Q93" s="657">
        <f>O93*P93</f>
        <v>3429.24697</v>
      </c>
      <c r="R93" s="665">
        <v>340.98</v>
      </c>
      <c r="S93" s="648">
        <f>13.68*1.18</f>
        <v>16.1424</v>
      </c>
      <c r="T93" s="657">
        <f>R93*S93</f>
        <v>5504.235552</v>
      </c>
      <c r="U93" s="665"/>
      <c r="V93" s="676"/>
      <c r="W93" s="657">
        <f>U93*V93</f>
        <v>0</v>
      </c>
      <c r="X93" s="677">
        <f>Q93+T93+W93</f>
        <v>8933.482522</v>
      </c>
      <c r="Y93" s="678">
        <f t="shared" si="6"/>
        <v>59766.689302000006</v>
      </c>
    </row>
    <row r="94" spans="1:25" s="617" customFormat="1" ht="22.5">
      <c r="A94" s="659" t="s">
        <v>1142</v>
      </c>
      <c r="B94" s="679">
        <f>B91+B92+B93</f>
        <v>17.349</v>
      </c>
      <c r="C94" s="642"/>
      <c r="D94" s="660">
        <f>D91+D92+D93</f>
        <v>106385.489772</v>
      </c>
      <c r="E94" s="652">
        <f>E91+E92+E93</f>
        <v>63.040000000000006</v>
      </c>
      <c r="F94" s="658"/>
      <c r="G94" s="661">
        <f>G91+G92+G93</f>
        <v>108413.39302399999</v>
      </c>
      <c r="H94" s="658">
        <f>H91+H92+H93</f>
        <v>21.53</v>
      </c>
      <c r="I94" s="658"/>
      <c r="J94" s="642">
        <f>J91+J92+J93</f>
        <v>37043.534388</v>
      </c>
      <c r="K94" s="662">
        <f>K91+K92+K93</f>
        <v>340.57</v>
      </c>
      <c r="L94" s="639"/>
      <c r="M94" s="663">
        <f>M91+M92+M93</f>
        <v>13900.759999999998</v>
      </c>
      <c r="N94" s="680">
        <f>N91+N92+N93</f>
        <v>159357.687412</v>
      </c>
      <c r="O94" s="665">
        <f>O91+O92+O93</f>
        <v>649.91</v>
      </c>
      <c r="P94" s="666"/>
      <c r="Q94" s="667">
        <f>Q91+Q92+Q93</f>
        <v>9747.22565</v>
      </c>
      <c r="R94" s="665">
        <f>R91+R92+R93</f>
        <v>1115.8600000000001</v>
      </c>
      <c r="S94" s="668"/>
      <c r="T94" s="667">
        <f>T91+T92+T93</f>
        <v>18012.658464</v>
      </c>
      <c r="U94" s="652">
        <f>U91+U92+U93</f>
        <v>0</v>
      </c>
      <c r="V94" s="658"/>
      <c r="W94" s="663">
        <f>W91+W92+W93</f>
        <v>0</v>
      </c>
      <c r="X94" s="669">
        <f>X91+X92+X93</f>
        <v>27759.884114</v>
      </c>
      <c r="Y94" s="670">
        <f>Y91+Y92+Y93</f>
        <v>293503.061298</v>
      </c>
    </row>
    <row r="95" spans="1:25" s="617" customFormat="1" ht="12.75">
      <c r="A95" s="651" t="s">
        <v>1143</v>
      </c>
      <c r="B95" s="679">
        <v>4.761</v>
      </c>
      <c r="C95" s="636">
        <f>5717.5*1.18</f>
        <v>6746.65</v>
      </c>
      <c r="D95" s="655">
        <f>ROUND(B95*C95,2)</f>
        <v>32120.8</v>
      </c>
      <c r="E95" s="665">
        <v>35.41</v>
      </c>
      <c r="F95" s="639">
        <f>I95</f>
        <v>2454.5534</v>
      </c>
      <c r="G95" s="673">
        <f>E95*F95</f>
        <v>86915.73589399998</v>
      </c>
      <c r="H95" s="658">
        <v>6.03</v>
      </c>
      <c r="I95" s="639">
        <f>2080.13*1.18</f>
        <v>2454.5534</v>
      </c>
      <c r="J95" s="642">
        <f>H95*I95-0.01</f>
        <v>14800.947001999999</v>
      </c>
      <c r="K95" s="662">
        <v>96.89</v>
      </c>
      <c r="L95" s="639">
        <f>34.59*1.18</f>
        <v>40.8162</v>
      </c>
      <c r="M95" s="655">
        <f>K95*L95+0.01</f>
        <v>3954.6916180000003</v>
      </c>
      <c r="N95" s="664">
        <f>G95+M95+J95</f>
        <v>105671.37451399998</v>
      </c>
      <c r="O95" s="672">
        <v>173.16</v>
      </c>
      <c r="P95" s="646">
        <f>14.29*1.18</f>
        <v>16.862199999999998</v>
      </c>
      <c r="Q95" s="657">
        <f>O95*P95</f>
        <v>2919.8585519999997</v>
      </c>
      <c r="R95" s="665">
        <v>270.05</v>
      </c>
      <c r="S95" s="648">
        <f>14.31*1.18</f>
        <v>16.8858</v>
      </c>
      <c r="T95" s="657">
        <f>R95*S95+0.01</f>
        <v>4560.02029</v>
      </c>
      <c r="U95" s="652"/>
      <c r="V95" s="649"/>
      <c r="W95" s="655">
        <f>U95*V95</f>
        <v>0</v>
      </c>
      <c r="X95" s="644">
        <f>Q95+T95+W95</f>
        <v>7479.878842</v>
      </c>
      <c r="Y95" s="650">
        <f t="shared" si="6"/>
        <v>145272.053356</v>
      </c>
    </row>
    <row r="96" spans="1:25" s="617" customFormat="1" ht="12.75">
      <c r="A96" s="651" t="s">
        <v>1144</v>
      </c>
      <c r="B96" s="679">
        <v>3.248828</v>
      </c>
      <c r="C96" s="636">
        <v>6385.03</v>
      </c>
      <c r="D96" s="655">
        <f>B96*C96</f>
        <v>20743.86424484</v>
      </c>
      <c r="E96" s="665">
        <v>35.41</v>
      </c>
      <c r="F96" s="639">
        <f aca="true" t="shared" si="8" ref="F96:F101">I96</f>
        <v>2454.5534</v>
      </c>
      <c r="G96" s="673">
        <f>E96*F96</f>
        <v>86915.73589399998</v>
      </c>
      <c r="H96" s="658">
        <v>12.73</v>
      </c>
      <c r="I96" s="639">
        <f aca="true" t="shared" si="9" ref="I96:I101">2080.13*1.18</f>
        <v>2454.5534</v>
      </c>
      <c r="J96" s="642">
        <f>H96*I96</f>
        <v>31246.464782</v>
      </c>
      <c r="K96" s="654">
        <v>96.89</v>
      </c>
      <c r="L96" s="639">
        <f aca="true" t="shared" si="10" ref="L96:L101">34.59*1.18</f>
        <v>40.8162</v>
      </c>
      <c r="M96" s="655">
        <f>K96*L96</f>
        <v>3954.681618</v>
      </c>
      <c r="N96" s="664">
        <f>G96+M96+J96</f>
        <v>122116.88229399998</v>
      </c>
      <c r="O96" s="656">
        <v>187.68</v>
      </c>
      <c r="P96" s="646">
        <f>14.29*1.18</f>
        <v>16.862199999999998</v>
      </c>
      <c r="Q96" s="657">
        <f>O96*P96</f>
        <v>3164.6976959999997</v>
      </c>
      <c r="R96" s="665">
        <v>299.58</v>
      </c>
      <c r="S96" s="648">
        <f aca="true" t="shared" si="11" ref="S96:S101">14.31*1.18</f>
        <v>16.8858</v>
      </c>
      <c r="T96" s="657">
        <f>R96*S96</f>
        <v>5058.647964</v>
      </c>
      <c r="U96" s="652"/>
      <c r="V96" s="649"/>
      <c r="W96" s="655">
        <f>U96*V96</f>
        <v>0</v>
      </c>
      <c r="X96" s="644">
        <f>Q96+T96+W96</f>
        <v>8223.345659999999</v>
      </c>
      <c r="Y96" s="650">
        <f t="shared" si="6"/>
        <v>151084.09219883996</v>
      </c>
    </row>
    <row r="97" spans="1:25" s="617" customFormat="1" ht="12.75">
      <c r="A97" s="651" t="s">
        <v>1145</v>
      </c>
      <c r="B97" s="652">
        <v>4.1</v>
      </c>
      <c r="C97" s="636">
        <v>6385.03</v>
      </c>
      <c r="D97" s="655">
        <f>B97*C97</f>
        <v>26178.622999999996</v>
      </c>
      <c r="E97" s="652">
        <v>17.85</v>
      </c>
      <c r="F97" s="639">
        <f t="shared" si="8"/>
        <v>2454.5534</v>
      </c>
      <c r="G97" s="653">
        <f>E97*F97</f>
        <v>43813.77819</v>
      </c>
      <c r="H97" s="658">
        <v>12.73</v>
      </c>
      <c r="I97" s="639">
        <f t="shared" si="9"/>
        <v>2454.5534</v>
      </c>
      <c r="J97" s="642">
        <f>H97*I97</f>
        <v>31246.464782</v>
      </c>
      <c r="K97" s="654">
        <v>119.97</v>
      </c>
      <c r="L97" s="639">
        <f t="shared" si="10"/>
        <v>40.8162</v>
      </c>
      <c r="M97" s="655">
        <f>K97*L97</f>
        <v>4896.719514</v>
      </c>
      <c r="N97" s="664">
        <f>G97+M97+J97</f>
        <v>79956.96248599999</v>
      </c>
      <c r="O97" s="656">
        <v>151.2</v>
      </c>
      <c r="P97" s="646">
        <f>14.29*1.18</f>
        <v>16.862199999999998</v>
      </c>
      <c r="Q97" s="657">
        <f>O97*P97</f>
        <v>2549.5646399999996</v>
      </c>
      <c r="R97" s="665">
        <v>271.17</v>
      </c>
      <c r="S97" s="648">
        <f t="shared" si="11"/>
        <v>16.8858</v>
      </c>
      <c r="T97" s="657">
        <f>R97*S97</f>
        <v>4578.922386</v>
      </c>
      <c r="U97" s="652"/>
      <c r="V97" s="649"/>
      <c r="W97" s="655">
        <f>U97*V97</f>
        <v>0</v>
      </c>
      <c r="X97" s="644">
        <f>Q97+T97+W97</f>
        <v>7128.487026</v>
      </c>
      <c r="Y97" s="650">
        <f t="shared" si="6"/>
        <v>113264.07251199998</v>
      </c>
    </row>
    <row r="98" spans="1:25" s="617" customFormat="1" ht="22.5">
      <c r="A98" s="659" t="s">
        <v>1146</v>
      </c>
      <c r="B98" s="679">
        <f>B95+B96+B97</f>
        <v>12.109828</v>
      </c>
      <c r="C98" s="642"/>
      <c r="D98" s="660">
        <f>D95+D96+D97</f>
        <v>79043.28724483999</v>
      </c>
      <c r="E98" s="652">
        <f>E95+E96+E97</f>
        <v>88.66999999999999</v>
      </c>
      <c r="F98" s="639"/>
      <c r="G98" s="661">
        <f>G95+G96+G97</f>
        <v>217645.24997799995</v>
      </c>
      <c r="H98" s="658">
        <f>H95+H96+H97</f>
        <v>31.490000000000002</v>
      </c>
      <c r="I98" s="639"/>
      <c r="J98" s="642">
        <f>J95+J96+J97</f>
        <v>77293.87656599999</v>
      </c>
      <c r="K98" s="662">
        <f>K95+K96+K97</f>
        <v>313.75</v>
      </c>
      <c r="L98" s="639"/>
      <c r="M98" s="663">
        <f>M95+M96+M97</f>
        <v>12806.09275</v>
      </c>
      <c r="N98" s="680">
        <f>N95+N96+N97</f>
        <v>307745.21929399995</v>
      </c>
      <c r="O98" s="665">
        <f>O95+O96+O97</f>
        <v>512.04</v>
      </c>
      <c r="P98" s="666"/>
      <c r="Q98" s="667">
        <f>Q95+Q96+Q97</f>
        <v>8634.120887999998</v>
      </c>
      <c r="R98" s="665">
        <f>R95+R96+R97</f>
        <v>840.8</v>
      </c>
      <c r="S98" s="668"/>
      <c r="T98" s="667">
        <f>T95+T96+T97</f>
        <v>14197.59064</v>
      </c>
      <c r="U98" s="652">
        <f>U95+U96+U97</f>
        <v>0</v>
      </c>
      <c r="V98" s="658"/>
      <c r="W98" s="663">
        <f>W95+W96+W97</f>
        <v>0</v>
      </c>
      <c r="X98" s="669">
        <f>X95+X96+X97</f>
        <v>22831.711528</v>
      </c>
      <c r="Y98" s="670">
        <f>Y95+Y96+Y97</f>
        <v>409620.21806683997</v>
      </c>
    </row>
    <row r="99" spans="1:25" s="617" customFormat="1" ht="12.75">
      <c r="A99" s="651" t="s">
        <v>1147</v>
      </c>
      <c r="B99" s="679">
        <v>6.117</v>
      </c>
      <c r="C99" s="636">
        <v>6385.03</v>
      </c>
      <c r="D99" s="655">
        <f>B99*C99</f>
        <v>39057.22851</v>
      </c>
      <c r="E99" s="652">
        <v>35.41</v>
      </c>
      <c r="F99" s="639">
        <f t="shared" si="8"/>
        <v>2454.5534</v>
      </c>
      <c r="G99" s="653">
        <f>E99*F99</f>
        <v>86915.73589399998</v>
      </c>
      <c r="H99" s="658">
        <v>11.90265</v>
      </c>
      <c r="I99" s="639">
        <f t="shared" si="9"/>
        <v>2454.5534</v>
      </c>
      <c r="J99" s="642">
        <f>H99*I99</f>
        <v>29215.690026509998</v>
      </c>
      <c r="K99" s="797">
        <v>141.1299</v>
      </c>
      <c r="L99" s="639">
        <f t="shared" si="10"/>
        <v>40.8162</v>
      </c>
      <c r="M99" s="655">
        <f>K99*L99</f>
        <v>5760.38622438</v>
      </c>
      <c r="N99" s="664">
        <f>G99+M99+J99</f>
        <v>121891.81214488998</v>
      </c>
      <c r="O99" s="681">
        <v>265.3</v>
      </c>
      <c r="P99" s="646">
        <f>14.29*1.18</f>
        <v>16.862199999999998</v>
      </c>
      <c r="Q99" s="657">
        <f>O99*P99</f>
        <v>4473.54166</v>
      </c>
      <c r="R99" s="665">
        <v>398.55</v>
      </c>
      <c r="S99" s="648">
        <f t="shared" si="11"/>
        <v>16.8858</v>
      </c>
      <c r="T99" s="657">
        <f>R99*S99</f>
        <v>6729.83559</v>
      </c>
      <c r="U99" s="652"/>
      <c r="V99" s="649"/>
      <c r="W99" s="655">
        <f>U99*V99</f>
        <v>0</v>
      </c>
      <c r="X99" s="644">
        <f>Q99+T99+W99</f>
        <v>11203.37725</v>
      </c>
      <c r="Y99" s="650">
        <f t="shared" si="6"/>
        <v>172152.41790488997</v>
      </c>
    </row>
    <row r="100" spans="1:25" s="617" customFormat="1" ht="12.75">
      <c r="A100" s="682" t="s">
        <v>1148</v>
      </c>
      <c r="B100" s="679">
        <v>8.230665</v>
      </c>
      <c r="C100" s="636">
        <v>6385.03</v>
      </c>
      <c r="D100" s="655">
        <f>B100*C100</f>
        <v>52553.04294495</v>
      </c>
      <c r="E100" s="652">
        <v>55.54</v>
      </c>
      <c r="F100" s="639">
        <f t="shared" si="8"/>
        <v>2454.5534</v>
      </c>
      <c r="G100" s="653">
        <f>E100*F100</f>
        <v>136325.89583599998</v>
      </c>
      <c r="H100" s="658">
        <v>7.98</v>
      </c>
      <c r="I100" s="639">
        <f t="shared" si="9"/>
        <v>2454.5534</v>
      </c>
      <c r="J100" s="642">
        <f>H100*I100</f>
        <v>19587.336132</v>
      </c>
      <c r="K100" s="798">
        <v>119</v>
      </c>
      <c r="L100" s="639">
        <f t="shared" si="10"/>
        <v>40.8162</v>
      </c>
      <c r="M100" s="655">
        <f>K100*L100</f>
        <v>4857.1278</v>
      </c>
      <c r="N100" s="664">
        <f>G100+M100+J100</f>
        <v>160770.35976799997</v>
      </c>
      <c r="O100" s="683">
        <v>190.06</v>
      </c>
      <c r="P100" s="646">
        <f>14.29*1.18</f>
        <v>16.862199999999998</v>
      </c>
      <c r="Q100" s="657">
        <f>O100*P100</f>
        <v>3204.8297319999997</v>
      </c>
      <c r="R100" s="665">
        <v>424.12</v>
      </c>
      <c r="S100" s="648">
        <f t="shared" si="11"/>
        <v>16.8858</v>
      </c>
      <c r="T100" s="657">
        <f>R100*S100</f>
        <v>7161.605496</v>
      </c>
      <c r="U100" s="652"/>
      <c r="V100" s="649"/>
      <c r="W100" s="655">
        <f>U100*V100</f>
        <v>0</v>
      </c>
      <c r="X100" s="644">
        <f>Q100+T100+W100</f>
        <v>10366.435228</v>
      </c>
      <c r="Y100" s="650">
        <f t="shared" si="6"/>
        <v>223689.83794094995</v>
      </c>
    </row>
    <row r="101" spans="1:25" s="617" customFormat="1" ht="12.75">
      <c r="A101" s="684" t="s">
        <v>1149</v>
      </c>
      <c r="B101" s="679">
        <v>9.321099</v>
      </c>
      <c r="C101" s="636">
        <v>6385.03</v>
      </c>
      <c r="D101" s="655">
        <f>B101*C101</f>
        <v>59515.49674797</v>
      </c>
      <c r="E101" s="652">
        <v>48.21</v>
      </c>
      <c r="F101" s="639">
        <f t="shared" si="8"/>
        <v>2454.5534</v>
      </c>
      <c r="G101" s="653">
        <f>E101*F101</f>
        <v>118334.019414</v>
      </c>
      <c r="H101" s="658">
        <v>7.98</v>
      </c>
      <c r="I101" s="639">
        <f t="shared" si="9"/>
        <v>2454.5534</v>
      </c>
      <c r="J101" s="642">
        <f>H101*I101</f>
        <v>19587.336132</v>
      </c>
      <c r="K101" s="654">
        <v>76.9898</v>
      </c>
      <c r="L101" s="639">
        <f t="shared" si="10"/>
        <v>40.8162</v>
      </c>
      <c r="M101" s="655">
        <f>K101*L101</f>
        <v>3142.4310747600002</v>
      </c>
      <c r="N101" s="664">
        <f>G101+M101+J101</f>
        <v>141063.78662076</v>
      </c>
      <c r="O101" s="683">
        <v>220.5</v>
      </c>
      <c r="P101" s="646">
        <f>14.29*1.18</f>
        <v>16.862199999999998</v>
      </c>
      <c r="Q101" s="657">
        <f>O101*P101</f>
        <v>3718.1150999999995</v>
      </c>
      <c r="R101" s="665">
        <v>290.8</v>
      </c>
      <c r="S101" s="648">
        <f t="shared" si="11"/>
        <v>16.8858</v>
      </c>
      <c r="T101" s="657">
        <f>R101*S101</f>
        <v>4910.3906400000005</v>
      </c>
      <c r="U101" s="652"/>
      <c r="V101" s="649"/>
      <c r="W101" s="655">
        <f>U101*V101</f>
        <v>0</v>
      </c>
      <c r="X101" s="644">
        <f>Q101+T101+W101</f>
        <v>8628.50574</v>
      </c>
      <c r="Y101" s="650">
        <f t="shared" si="6"/>
        <v>209207.78910872998</v>
      </c>
    </row>
    <row r="102" spans="1:25" s="617" customFormat="1" ht="23.25" thickBot="1">
      <c r="A102" s="685" t="s">
        <v>1150</v>
      </c>
      <c r="B102" s="686">
        <f>B99+B100+B101</f>
        <v>23.668764</v>
      </c>
      <c r="C102" s="687"/>
      <c r="D102" s="688">
        <f>D99+D100+D101</f>
        <v>151125.76820292</v>
      </c>
      <c r="E102" s="689">
        <f>E99+E100+E101</f>
        <v>139.16</v>
      </c>
      <c r="F102" s="687"/>
      <c r="G102" s="690">
        <f>G99+G100+G101</f>
        <v>341575.65114399994</v>
      </c>
      <c r="H102" s="658">
        <f>H99+H100+H101</f>
        <v>27.86265</v>
      </c>
      <c r="I102" s="658"/>
      <c r="J102" s="642">
        <f>J99+J100+J101</f>
        <v>68390.36229050999</v>
      </c>
      <c r="K102" s="799">
        <f>K99+K100+K101</f>
        <v>337.1197</v>
      </c>
      <c r="L102" s="694"/>
      <c r="M102" s="691">
        <f>M99+M100+M101</f>
        <v>13759.94509914</v>
      </c>
      <c r="N102" s="692">
        <f>N99+N100+N101</f>
        <v>423725.9585336499</v>
      </c>
      <c r="O102" s="693">
        <f>O99+O100+O101</f>
        <v>675.86</v>
      </c>
      <c r="P102" s="694"/>
      <c r="Q102" s="695">
        <f>Q99+Q100+Q101</f>
        <v>11396.486491999998</v>
      </c>
      <c r="R102" s="693">
        <f>R99+R100+R101</f>
        <v>1113.47</v>
      </c>
      <c r="S102" s="694"/>
      <c r="T102" s="695">
        <f>T99+T100+T101</f>
        <v>18801.831726</v>
      </c>
      <c r="U102" s="689">
        <f>U99+U100+U101</f>
        <v>0</v>
      </c>
      <c r="V102" s="687"/>
      <c r="W102" s="691">
        <f>W99+W100+W101</f>
        <v>0</v>
      </c>
      <c r="X102" s="696">
        <f>X99+X100+X101</f>
        <v>30198.318218</v>
      </c>
      <c r="Y102" s="697">
        <f>Y99+Y100+Y101</f>
        <v>605050.0449545699</v>
      </c>
    </row>
    <row r="103" spans="1:25" s="617" customFormat="1" ht="13.5" thickBot="1">
      <c r="A103" s="698" t="s">
        <v>695</v>
      </c>
      <c r="B103" s="699">
        <f>B102+B98+B94+B90</f>
        <v>70.240592</v>
      </c>
      <c r="C103" s="699">
        <f>D103/B103</f>
        <v>6385.0305252518365</v>
      </c>
      <c r="D103" s="699">
        <f>D102+D98+D94+D90</f>
        <v>448488.32403176</v>
      </c>
      <c r="E103" s="699">
        <f>E102+E98+E94+E90</f>
        <v>429.2</v>
      </c>
      <c r="F103" s="699">
        <f>G103/E103</f>
        <v>2109.804488103448</v>
      </c>
      <c r="G103" s="699">
        <f>G102+G98+G94+G90</f>
        <v>905528.0862939998</v>
      </c>
      <c r="H103" s="700">
        <f>H90+H94+H98+H102</f>
        <v>102.32265000000001</v>
      </c>
      <c r="I103" s="700">
        <f>J103/H103</f>
        <v>2146.145875898542</v>
      </c>
      <c r="J103" s="700">
        <f>J90+J94+J98+J102</f>
        <v>219599.33330850996</v>
      </c>
      <c r="K103" s="699">
        <f>K102+K98+K94+K90</f>
        <v>1290.3597</v>
      </c>
      <c r="L103" s="699">
        <f>M103/K103</f>
        <v>40.81619991785236</v>
      </c>
      <c r="M103" s="699">
        <f>M102+M98+M94+M90</f>
        <v>52667.57948114</v>
      </c>
      <c r="N103" s="699">
        <f>N102+N98+N94+N90</f>
        <v>1177794.9990836498</v>
      </c>
      <c r="O103" s="701">
        <f>O102+O98+O94+O90</f>
        <v>2693.2799999999997</v>
      </c>
      <c r="P103" s="701">
        <f>Q103/O103</f>
        <v>15.82011561961623</v>
      </c>
      <c r="Q103" s="701">
        <f>Q102+Q98+Q94+Q90</f>
        <v>42608.000995999995</v>
      </c>
      <c r="R103" s="701">
        <f>R102+R98+R94+R90</f>
        <v>4165.47</v>
      </c>
      <c r="S103" s="701">
        <f>T103/R103</f>
        <v>16.49117560467366</v>
      </c>
      <c r="T103" s="701">
        <f>T102+T98+T94+T90</f>
        <v>68693.497246</v>
      </c>
      <c r="U103" s="699">
        <f>U102+U98+U94+U90</f>
        <v>0</v>
      </c>
      <c r="V103" s="699"/>
      <c r="W103" s="699">
        <f>W102+W98+W94+W90</f>
        <v>0</v>
      </c>
      <c r="X103" s="699">
        <f>X102+X98+X94+X90</f>
        <v>111301.498242</v>
      </c>
      <c r="Y103" s="699">
        <f>Y102+Y98+Y94+Y90</f>
        <v>1737584.82135741</v>
      </c>
    </row>
    <row r="104" spans="15:20" s="617" customFormat="1" ht="12.75">
      <c r="O104" s="496"/>
      <c r="P104" s="496"/>
      <c r="Q104" s="496"/>
      <c r="R104" s="496"/>
      <c r="S104" s="496"/>
      <c r="T104" s="496"/>
    </row>
    <row r="105" spans="1:27" ht="9" customHeight="1">
      <c r="A105" s="496"/>
      <c r="B105" s="496"/>
      <c r="C105" s="496"/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496"/>
      <c r="O105" s="496"/>
      <c r="P105" s="496"/>
      <c r="Q105" s="496"/>
      <c r="R105" s="496"/>
      <c r="S105" s="496"/>
      <c r="T105" s="496"/>
      <c r="U105" s="496"/>
      <c r="V105" s="496"/>
      <c r="W105" s="496"/>
      <c r="X105" s="496"/>
      <c r="Y105" s="496"/>
      <c r="Z105" s="496"/>
      <c r="AA105" s="496"/>
    </row>
  </sheetData>
  <sheetProtection/>
  <mergeCells count="59">
    <mergeCell ref="E84:G84"/>
    <mergeCell ref="H84:J84"/>
    <mergeCell ref="K84:M84"/>
    <mergeCell ref="R84:T84"/>
    <mergeCell ref="U84:W84"/>
    <mergeCell ref="A82:Y82"/>
    <mergeCell ref="A83:A85"/>
    <mergeCell ref="B83:D83"/>
    <mergeCell ref="E83:M83"/>
    <mergeCell ref="N83:N85"/>
    <mergeCell ref="O83:Q84"/>
    <mergeCell ref="R83:W83"/>
    <mergeCell ref="X83:X85"/>
    <mergeCell ref="Y83:Y85"/>
    <mergeCell ref="B84:D84"/>
    <mergeCell ref="R32:R34"/>
    <mergeCell ref="S32:S34"/>
    <mergeCell ref="B33:D33"/>
    <mergeCell ref="E33:G33"/>
    <mergeCell ref="H33:J33"/>
    <mergeCell ref="A32:A34"/>
    <mergeCell ref="B32:D32"/>
    <mergeCell ref="E32:J32"/>
    <mergeCell ref="K32:K34"/>
    <mergeCell ref="L32:N33"/>
    <mergeCell ref="O32:Q32"/>
    <mergeCell ref="F2:N2"/>
    <mergeCell ref="O7:Q8"/>
    <mergeCell ref="R7:W7"/>
    <mergeCell ref="X7:X9"/>
    <mergeCell ref="Y7:Y9"/>
    <mergeCell ref="A31:S31"/>
    <mergeCell ref="U8:W8"/>
    <mergeCell ref="A6:Y6"/>
    <mergeCell ref="A7:A9"/>
    <mergeCell ref="B7:D7"/>
    <mergeCell ref="X58:X60"/>
    <mergeCell ref="Y58:Y60"/>
    <mergeCell ref="U59:W59"/>
    <mergeCell ref="A57:Y57"/>
    <mergeCell ref="A58:A60"/>
    <mergeCell ref="B58:D58"/>
    <mergeCell ref="R8:T8"/>
    <mergeCell ref="E59:G59"/>
    <mergeCell ref="H59:J59"/>
    <mergeCell ref="K59:M59"/>
    <mergeCell ref="R59:T59"/>
    <mergeCell ref="E7:M7"/>
    <mergeCell ref="N7:N9"/>
    <mergeCell ref="O58:Q59"/>
    <mergeCell ref="R58:W58"/>
    <mergeCell ref="O33:Q33"/>
    <mergeCell ref="E58:M58"/>
    <mergeCell ref="N58:N60"/>
    <mergeCell ref="B59:D59"/>
    <mergeCell ref="B8:D8"/>
    <mergeCell ref="E8:G8"/>
    <mergeCell ref="H8:J8"/>
    <mergeCell ref="K8:M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PageLayoutView="0" workbookViewId="0" topLeftCell="A1">
      <selection activeCell="L10" sqref="L10"/>
    </sheetView>
  </sheetViews>
  <sheetFormatPr defaultColWidth="8.875" defaultRowHeight="12.75"/>
  <cols>
    <col min="1" max="1" width="7.00390625" style="336" customWidth="1"/>
    <col min="2" max="2" width="4.875" style="336" customWidth="1"/>
    <col min="3" max="3" width="2.125" style="336" customWidth="1"/>
    <col min="4" max="4" width="3.25390625" style="336" customWidth="1"/>
    <col min="5" max="5" width="4.875" style="336" customWidth="1"/>
    <col min="6" max="6" width="2.125" style="336" customWidth="1"/>
    <col min="7" max="7" width="3.25390625" style="336" customWidth="1"/>
    <col min="8" max="8" width="38.375" style="336" customWidth="1"/>
    <col min="9" max="9" width="19.00390625" style="337" customWidth="1"/>
    <col min="10" max="16384" width="8.875" style="336" customWidth="1"/>
  </cols>
  <sheetData>
    <row r="1" spans="1:9" ht="18.75">
      <c r="A1" s="862" t="s">
        <v>900</v>
      </c>
      <c r="B1" s="862"/>
      <c r="C1" s="862"/>
      <c r="D1" s="862"/>
      <c r="E1" s="862"/>
      <c r="F1" s="862"/>
      <c r="G1" s="862"/>
      <c r="H1" s="862"/>
      <c r="I1" s="862"/>
    </row>
    <row r="2" spans="1:9" s="435" customFormat="1" ht="19.5" customHeight="1">
      <c r="A2" s="926" t="s">
        <v>901</v>
      </c>
      <c r="B2" s="926"/>
      <c r="C2" s="926"/>
      <c r="D2" s="926"/>
      <c r="E2" s="926"/>
      <c r="F2" s="926"/>
      <c r="G2" s="926"/>
      <c r="H2" s="926"/>
      <c r="I2" s="926"/>
    </row>
    <row r="3" spans="1:9" s="435" customFormat="1" ht="19.5" customHeight="1">
      <c r="A3" s="388"/>
      <c r="B3" s="388"/>
      <c r="C3" s="388"/>
      <c r="D3" s="388"/>
      <c r="E3" s="388"/>
      <c r="F3" s="388"/>
      <c r="G3" s="388"/>
      <c r="H3" s="388" t="s">
        <v>902</v>
      </c>
      <c r="I3" s="388"/>
    </row>
    <row r="4" s="500" customFormat="1" ht="14.25" customHeight="1"/>
    <row r="5" spans="1:9" s="500" customFormat="1" ht="22.5" customHeight="1">
      <c r="A5" s="927" t="s">
        <v>2</v>
      </c>
      <c r="B5" s="927"/>
      <c r="C5" s="927"/>
      <c r="D5" s="927"/>
      <c r="E5" s="927"/>
      <c r="F5" s="927"/>
      <c r="G5" s="927"/>
      <c r="H5" s="927"/>
      <c r="I5" s="526" t="s">
        <v>295</v>
      </c>
    </row>
    <row r="6" spans="1:9" s="500" customFormat="1" ht="37.5" customHeight="1">
      <c r="A6" s="928" t="s">
        <v>69</v>
      </c>
      <c r="B6" s="929"/>
      <c r="C6" s="929"/>
      <c r="D6" s="929"/>
      <c r="E6" s="929"/>
      <c r="F6" s="929"/>
      <c r="G6" s="929"/>
      <c r="H6" s="930"/>
      <c r="I6" s="431"/>
    </row>
    <row r="7" spans="1:9" s="500" customFormat="1" ht="24" customHeight="1">
      <c r="A7" s="527">
        <v>65</v>
      </c>
      <c r="B7" s="528" t="s">
        <v>709</v>
      </c>
      <c r="C7" s="528" t="s">
        <v>710</v>
      </c>
      <c r="D7" s="529">
        <v>4</v>
      </c>
      <c r="E7" s="528" t="s">
        <v>739</v>
      </c>
      <c r="F7" s="528" t="s">
        <v>710</v>
      </c>
      <c r="G7" s="528">
        <v>12</v>
      </c>
      <c r="H7" s="530" t="s">
        <v>740</v>
      </c>
      <c r="I7" s="531">
        <f>A7*D7*G7</f>
        <v>3120</v>
      </c>
    </row>
    <row r="8" spans="1:9" s="435" customFormat="1" ht="24" customHeight="1">
      <c r="A8" s="931" t="s">
        <v>8</v>
      </c>
      <c r="B8" s="932"/>
      <c r="C8" s="932"/>
      <c r="D8" s="932"/>
      <c r="E8" s="932"/>
      <c r="F8" s="932"/>
      <c r="G8" s="932"/>
      <c r="H8" s="933"/>
      <c r="I8" s="434">
        <f>I7</f>
        <v>3120</v>
      </c>
    </row>
    <row r="9" s="435" customFormat="1" ht="15.75">
      <c r="I9" s="410"/>
    </row>
    <row r="10" s="449" customFormat="1" ht="24" customHeight="1">
      <c r="I10" s="435"/>
    </row>
    <row r="11" spans="3:9" s="449" customFormat="1" ht="15.75">
      <c r="C11" s="459"/>
      <c r="I11" s="435"/>
    </row>
    <row r="12" spans="3:9" s="449" customFormat="1" ht="15.75">
      <c r="C12" s="459"/>
      <c r="I12" s="410"/>
    </row>
    <row r="13" spans="3:10" s="449" customFormat="1" ht="15.75">
      <c r="C13" s="459"/>
      <c r="I13" s="934"/>
      <c r="J13" s="934"/>
    </row>
    <row r="14" s="449" customFormat="1" ht="15.75">
      <c r="C14" s="459"/>
    </row>
    <row r="15" s="449" customFormat="1" ht="15.75">
      <c r="C15" s="459"/>
    </row>
    <row r="16" s="449" customFormat="1" ht="15.75">
      <c r="C16" s="459"/>
    </row>
    <row r="17" ht="15.75">
      <c r="I17" s="459"/>
    </row>
    <row r="18" ht="15.75">
      <c r="I18" s="459"/>
    </row>
  </sheetData>
  <sheetProtection/>
  <mergeCells count="6">
    <mergeCell ref="A1:I1"/>
    <mergeCell ref="A2:I2"/>
    <mergeCell ref="A5:H5"/>
    <mergeCell ref="A6:H6"/>
    <mergeCell ref="A8:H8"/>
    <mergeCell ref="I13:J13"/>
  </mergeCells>
  <printOptions/>
  <pageMargins left="1.1811023622047245" right="0.1968503937007874" top="0.787401574803149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70">
      <selection activeCell="K81" sqref="K81"/>
    </sheetView>
  </sheetViews>
  <sheetFormatPr defaultColWidth="9.00390625" defaultRowHeight="12.75"/>
  <cols>
    <col min="2" max="2" width="24.625" style="0" bestFit="1" customWidth="1"/>
    <col min="3" max="3" width="12.75390625" style="0" customWidth="1"/>
    <col min="11" max="11" width="11.875" style="0" customWidth="1"/>
    <col min="13" max="13" width="10.125" style="0" bestFit="1" customWidth="1"/>
  </cols>
  <sheetData>
    <row r="1" spans="1:11" ht="15.75">
      <c r="A1" s="935" t="s">
        <v>553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</row>
    <row r="2" spans="1:11" ht="15.75">
      <c r="A2" s="935" t="s">
        <v>554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</row>
    <row r="3" spans="1:11" ht="15.75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</row>
    <row r="4" spans="1:11" ht="15.75">
      <c r="A4" s="936" t="s">
        <v>555</v>
      </c>
      <c r="B4" s="937"/>
      <c r="C4" s="937"/>
      <c r="D4" s="937"/>
      <c r="E4" s="937"/>
      <c r="F4" s="937"/>
      <c r="G4" s="937"/>
      <c r="H4" s="937"/>
      <c r="I4" s="937"/>
      <c r="J4" s="937"/>
      <c r="K4" s="937"/>
    </row>
    <row r="5" spans="1:11" ht="15.75">
      <c r="A5" s="938" t="s">
        <v>571</v>
      </c>
      <c r="B5" s="938"/>
      <c r="C5" s="938"/>
      <c r="D5" s="938"/>
      <c r="E5" s="938"/>
      <c r="F5" s="938"/>
      <c r="G5" s="938"/>
      <c r="H5" s="938"/>
      <c r="I5" s="938"/>
      <c r="J5" s="938"/>
      <c r="K5" s="938"/>
    </row>
    <row r="6" spans="1:11" ht="15.75">
      <c r="A6" s="939" t="s">
        <v>904</v>
      </c>
      <c r="B6" s="939"/>
      <c r="C6" s="939"/>
      <c r="D6" s="939"/>
      <c r="E6" s="939"/>
      <c r="F6" s="939"/>
      <c r="G6" s="939"/>
      <c r="H6" s="939"/>
      <c r="I6" s="939"/>
      <c r="J6" s="939"/>
      <c r="K6" s="939"/>
    </row>
    <row r="7" spans="1:11" ht="18.75">
      <c r="A7" s="940" t="s">
        <v>572</v>
      </c>
      <c r="B7" s="940"/>
      <c r="C7" s="940"/>
      <c r="D7" s="940"/>
      <c r="E7" s="940"/>
      <c r="F7" s="940"/>
      <c r="G7" s="940"/>
      <c r="H7" s="940"/>
      <c r="I7" s="940"/>
      <c r="J7" s="940"/>
      <c r="K7" s="940"/>
    </row>
    <row r="8" spans="1:11" ht="15.75">
      <c r="A8" s="309"/>
      <c r="B8" s="309"/>
      <c r="C8" s="309"/>
      <c r="D8" s="309"/>
      <c r="E8" s="309"/>
      <c r="F8" s="309"/>
      <c r="G8" s="309"/>
      <c r="H8" s="309"/>
      <c r="I8" s="322"/>
      <c r="J8" s="322"/>
      <c r="K8" s="322"/>
    </row>
    <row r="9" spans="1:11" ht="15.75" customHeight="1">
      <c r="A9" s="941" t="s">
        <v>556</v>
      </c>
      <c r="B9" s="943" t="s">
        <v>2</v>
      </c>
      <c r="C9" s="941" t="s">
        <v>557</v>
      </c>
      <c r="D9" s="941" t="s">
        <v>558</v>
      </c>
      <c r="E9" s="941" t="s">
        <v>559</v>
      </c>
      <c r="F9" s="941" t="s">
        <v>560</v>
      </c>
      <c r="G9" s="945" t="s">
        <v>561</v>
      </c>
      <c r="H9" s="946"/>
      <c r="I9" s="945" t="s">
        <v>562</v>
      </c>
      <c r="J9" s="947"/>
      <c r="K9" s="946"/>
    </row>
    <row r="10" spans="1:11" ht="78.75">
      <c r="A10" s="942"/>
      <c r="B10" s="944"/>
      <c r="C10" s="942"/>
      <c r="D10" s="942"/>
      <c r="E10" s="942"/>
      <c r="F10" s="942"/>
      <c r="G10" s="313" t="s">
        <v>306</v>
      </c>
      <c r="H10" s="311" t="s">
        <v>563</v>
      </c>
      <c r="I10" s="312" t="s">
        <v>564</v>
      </c>
      <c r="J10" s="312" t="s">
        <v>565</v>
      </c>
      <c r="K10" s="312" t="s">
        <v>566</v>
      </c>
    </row>
    <row r="11" spans="1:11" ht="29.25" customHeight="1">
      <c r="A11" s="507">
        <v>1</v>
      </c>
      <c r="B11" s="511" t="s">
        <v>573</v>
      </c>
      <c r="C11" s="512" t="s">
        <v>574</v>
      </c>
      <c r="D11" s="507">
        <v>1</v>
      </c>
      <c r="E11" s="507">
        <v>2</v>
      </c>
      <c r="F11" s="323">
        <v>20</v>
      </c>
      <c r="G11" s="323">
        <v>20</v>
      </c>
      <c r="H11" s="513">
        <v>0</v>
      </c>
      <c r="I11" s="323">
        <f>D11*F11-G11+H11</f>
        <v>0</v>
      </c>
      <c r="J11" s="324">
        <v>2500</v>
      </c>
      <c r="K11" s="324">
        <f aca="true" t="shared" si="0" ref="K11:K42">J11*I11</f>
        <v>0</v>
      </c>
    </row>
    <row r="12" spans="1:11" ht="31.5">
      <c r="A12" s="507">
        <v>2</v>
      </c>
      <c r="B12" s="511" t="s">
        <v>575</v>
      </c>
      <c r="C12" s="512" t="s">
        <v>574</v>
      </c>
      <c r="D12" s="507">
        <v>1</v>
      </c>
      <c r="E12" s="507">
        <v>2</v>
      </c>
      <c r="F12" s="323">
        <v>20</v>
      </c>
      <c r="G12" s="323">
        <v>20</v>
      </c>
      <c r="H12" s="513">
        <v>0</v>
      </c>
      <c r="I12" s="323">
        <f>D12*F12-G12+H12</f>
        <v>0</v>
      </c>
      <c r="J12" s="324">
        <v>1000</v>
      </c>
      <c r="K12" s="324">
        <f t="shared" si="0"/>
        <v>0</v>
      </c>
    </row>
    <row r="13" spans="1:13" ht="31.5">
      <c r="A13" s="507">
        <v>3</v>
      </c>
      <c r="B13" s="511" t="s">
        <v>576</v>
      </c>
      <c r="C13" s="512" t="s">
        <v>574</v>
      </c>
      <c r="D13" s="507">
        <v>1</v>
      </c>
      <c r="E13" s="507">
        <v>2</v>
      </c>
      <c r="F13" s="323">
        <v>20</v>
      </c>
      <c r="G13" s="323">
        <v>20</v>
      </c>
      <c r="H13" s="323">
        <v>16</v>
      </c>
      <c r="I13" s="323">
        <f>D13*F13-G13+H13</f>
        <v>16</v>
      </c>
      <c r="J13" s="324">
        <v>1500</v>
      </c>
      <c r="K13" s="324">
        <f>J13*I13</f>
        <v>24000</v>
      </c>
      <c r="M13" s="510"/>
    </row>
    <row r="14" spans="1:11" ht="31.5">
      <c r="A14" s="507">
        <v>4</v>
      </c>
      <c r="B14" s="511" t="s">
        <v>577</v>
      </c>
      <c r="C14" s="512" t="s">
        <v>578</v>
      </c>
      <c r="D14" s="507">
        <v>2</v>
      </c>
      <c r="E14" s="507">
        <v>2</v>
      </c>
      <c r="F14" s="323">
        <v>20</v>
      </c>
      <c r="G14" s="323">
        <v>40</v>
      </c>
      <c r="H14" s="323">
        <v>24</v>
      </c>
      <c r="I14" s="323">
        <f>D14*F14-G14+H14</f>
        <v>24</v>
      </c>
      <c r="J14" s="324">
        <v>1500</v>
      </c>
      <c r="K14" s="324">
        <f t="shared" si="0"/>
        <v>36000</v>
      </c>
    </row>
    <row r="15" spans="1:11" ht="31.5">
      <c r="A15" s="507">
        <v>5</v>
      </c>
      <c r="B15" s="508" t="s">
        <v>579</v>
      </c>
      <c r="C15" s="509" t="s">
        <v>578</v>
      </c>
      <c r="D15" s="507">
        <v>2</v>
      </c>
      <c r="E15" s="507">
        <v>2</v>
      </c>
      <c r="F15" s="323">
        <v>20</v>
      </c>
      <c r="G15" s="323">
        <v>40</v>
      </c>
      <c r="H15" s="323">
        <v>40</v>
      </c>
      <c r="I15" s="323">
        <f>D15*F15-G15+H15</f>
        <v>40</v>
      </c>
      <c r="J15" s="324">
        <v>720</v>
      </c>
      <c r="K15" s="324">
        <f t="shared" si="0"/>
        <v>28800</v>
      </c>
    </row>
    <row r="16" spans="1:11" ht="31.5">
      <c r="A16" s="507">
        <v>6</v>
      </c>
      <c r="B16" s="508" t="s">
        <v>580</v>
      </c>
      <c r="C16" s="509" t="s">
        <v>574</v>
      </c>
      <c r="D16" s="507">
        <v>4</v>
      </c>
      <c r="E16" s="507">
        <v>1</v>
      </c>
      <c r="F16" s="323">
        <v>20</v>
      </c>
      <c r="G16" s="323">
        <v>60</v>
      </c>
      <c r="H16" s="323">
        <v>60</v>
      </c>
      <c r="I16" s="323">
        <v>80</v>
      </c>
      <c r="J16" s="324">
        <v>360</v>
      </c>
      <c r="K16" s="324">
        <f t="shared" si="0"/>
        <v>28800</v>
      </c>
    </row>
    <row r="17" spans="1:11" ht="31.5">
      <c r="A17" s="507">
        <v>7</v>
      </c>
      <c r="B17" s="508" t="s">
        <v>581</v>
      </c>
      <c r="C17" s="509" t="s">
        <v>578</v>
      </c>
      <c r="D17" s="507">
        <v>1</v>
      </c>
      <c r="E17" s="507">
        <v>2</v>
      </c>
      <c r="F17" s="323">
        <v>20</v>
      </c>
      <c r="G17" s="323">
        <v>20</v>
      </c>
      <c r="H17" s="323">
        <v>16</v>
      </c>
      <c r="I17" s="323">
        <f>D17*F17-G17+H17</f>
        <v>16</v>
      </c>
      <c r="J17" s="324">
        <v>1000</v>
      </c>
      <c r="K17" s="324">
        <f t="shared" si="0"/>
        <v>16000</v>
      </c>
    </row>
    <row r="18" spans="1:11" ht="31.5">
      <c r="A18" s="507">
        <v>8</v>
      </c>
      <c r="B18" s="508" t="s">
        <v>582</v>
      </c>
      <c r="C18" s="509" t="s">
        <v>578</v>
      </c>
      <c r="D18" s="507">
        <v>1</v>
      </c>
      <c r="E18" s="507">
        <v>2</v>
      </c>
      <c r="F18" s="323">
        <v>20</v>
      </c>
      <c r="G18" s="323">
        <v>20</v>
      </c>
      <c r="H18" s="323">
        <v>19</v>
      </c>
      <c r="I18" s="323">
        <v>24</v>
      </c>
      <c r="J18" s="324">
        <v>500</v>
      </c>
      <c r="K18" s="324">
        <f t="shared" si="0"/>
        <v>12000</v>
      </c>
    </row>
    <row r="19" spans="1:11" ht="31.5">
      <c r="A19" s="507">
        <v>9</v>
      </c>
      <c r="B19" s="508" t="s">
        <v>583</v>
      </c>
      <c r="C19" s="509" t="s">
        <v>574</v>
      </c>
      <c r="D19" s="507">
        <v>2</v>
      </c>
      <c r="E19" s="507">
        <v>1</v>
      </c>
      <c r="F19" s="323">
        <v>20</v>
      </c>
      <c r="G19" s="323">
        <v>40</v>
      </c>
      <c r="H19" s="323">
        <v>40</v>
      </c>
      <c r="I19" s="323">
        <v>40</v>
      </c>
      <c r="J19" s="324">
        <v>600</v>
      </c>
      <c r="K19" s="324">
        <f t="shared" si="0"/>
        <v>24000</v>
      </c>
    </row>
    <row r="20" spans="1:11" ht="15.75">
      <c r="A20" s="507">
        <v>10</v>
      </c>
      <c r="B20" s="508" t="s">
        <v>584</v>
      </c>
      <c r="C20" s="509" t="s">
        <v>574</v>
      </c>
      <c r="D20" s="507">
        <v>1</v>
      </c>
      <c r="E20" s="507">
        <v>2</v>
      </c>
      <c r="F20" s="323">
        <v>20</v>
      </c>
      <c r="G20" s="323">
        <v>20</v>
      </c>
      <c r="H20" s="323">
        <v>15</v>
      </c>
      <c r="I20" s="323">
        <v>15</v>
      </c>
      <c r="J20" s="324">
        <v>300</v>
      </c>
      <c r="K20" s="324">
        <f t="shared" si="0"/>
        <v>4500</v>
      </c>
    </row>
    <row r="21" spans="1:11" ht="15.75">
      <c r="A21" s="507">
        <v>11</v>
      </c>
      <c r="B21" s="508" t="s">
        <v>585</v>
      </c>
      <c r="C21" s="509" t="s">
        <v>574</v>
      </c>
      <c r="D21" s="507">
        <v>1</v>
      </c>
      <c r="E21" s="507">
        <v>1</v>
      </c>
      <c r="F21" s="323">
        <v>20</v>
      </c>
      <c r="G21" s="323">
        <v>20</v>
      </c>
      <c r="H21" s="323">
        <v>20</v>
      </c>
      <c r="I21" s="323">
        <v>20</v>
      </c>
      <c r="J21" s="324">
        <v>180</v>
      </c>
      <c r="K21" s="324">
        <f t="shared" si="0"/>
        <v>3600</v>
      </c>
    </row>
    <row r="22" spans="1:11" ht="15.75">
      <c r="A22" s="507">
        <v>12</v>
      </c>
      <c r="B22" s="508" t="s">
        <v>586</v>
      </c>
      <c r="C22" s="509" t="s">
        <v>574</v>
      </c>
      <c r="D22" s="507">
        <v>5</v>
      </c>
      <c r="E22" s="507">
        <v>1</v>
      </c>
      <c r="F22" s="323">
        <v>20</v>
      </c>
      <c r="G22" s="323">
        <v>120</v>
      </c>
      <c r="H22" s="323">
        <v>120</v>
      </c>
      <c r="I22" s="323">
        <v>120</v>
      </c>
      <c r="J22" s="324">
        <v>10</v>
      </c>
      <c r="K22" s="324">
        <f t="shared" si="0"/>
        <v>1200</v>
      </c>
    </row>
    <row r="23" spans="1:11" ht="31.5">
      <c r="A23" s="507">
        <v>13</v>
      </c>
      <c r="B23" s="508" t="s">
        <v>587</v>
      </c>
      <c r="C23" s="509" t="s">
        <v>574</v>
      </c>
      <c r="D23" s="507">
        <v>1</v>
      </c>
      <c r="E23" s="507">
        <v>1</v>
      </c>
      <c r="F23" s="323">
        <v>20</v>
      </c>
      <c r="G23" s="323">
        <v>20</v>
      </c>
      <c r="H23" s="323">
        <v>0</v>
      </c>
      <c r="I23" s="323">
        <f>D23*F23-G23+H23</f>
        <v>0</v>
      </c>
      <c r="J23" s="324">
        <v>120</v>
      </c>
      <c r="K23" s="324">
        <f t="shared" si="0"/>
        <v>0</v>
      </c>
    </row>
    <row r="24" spans="1:11" ht="15.75">
      <c r="A24" s="507">
        <v>14</v>
      </c>
      <c r="B24" s="508" t="s">
        <v>588</v>
      </c>
      <c r="C24" s="509" t="s">
        <v>574</v>
      </c>
      <c r="D24" s="507">
        <v>1</v>
      </c>
      <c r="E24" s="507">
        <v>2</v>
      </c>
      <c r="F24" s="323">
        <v>20</v>
      </c>
      <c r="G24" s="323">
        <v>20</v>
      </c>
      <c r="H24" s="323">
        <v>0</v>
      </c>
      <c r="I24" s="323">
        <v>20</v>
      </c>
      <c r="J24" s="324">
        <v>120</v>
      </c>
      <c r="K24" s="324">
        <f t="shared" si="0"/>
        <v>2400</v>
      </c>
    </row>
    <row r="25" spans="1:11" ht="15.75">
      <c r="A25" s="507">
        <v>15</v>
      </c>
      <c r="B25" s="508" t="s">
        <v>589</v>
      </c>
      <c r="C25" s="509" t="s">
        <v>590</v>
      </c>
      <c r="D25" s="507">
        <v>2</v>
      </c>
      <c r="E25" s="507">
        <v>1</v>
      </c>
      <c r="F25" s="323">
        <v>20</v>
      </c>
      <c r="G25" s="323">
        <v>48</v>
      </c>
      <c r="H25" s="323">
        <v>48</v>
      </c>
      <c r="I25" s="323">
        <v>48</v>
      </c>
      <c r="J25" s="324">
        <v>120</v>
      </c>
      <c r="K25" s="324">
        <f t="shared" si="0"/>
        <v>5760</v>
      </c>
    </row>
    <row r="26" spans="1:11" ht="15.75">
      <c r="A26" s="507">
        <v>16</v>
      </c>
      <c r="B26" s="508" t="s">
        <v>591</v>
      </c>
      <c r="C26" s="509" t="s">
        <v>574</v>
      </c>
      <c r="D26" s="507">
        <v>5</v>
      </c>
      <c r="E26" s="507">
        <v>1</v>
      </c>
      <c r="F26" s="323">
        <v>20</v>
      </c>
      <c r="G26" s="323">
        <v>120</v>
      </c>
      <c r="H26" s="323">
        <v>120</v>
      </c>
      <c r="I26" s="323">
        <v>120</v>
      </c>
      <c r="J26" s="324">
        <v>80</v>
      </c>
      <c r="K26" s="324">
        <f t="shared" si="0"/>
        <v>9600</v>
      </c>
    </row>
    <row r="27" spans="1:11" ht="15.75">
      <c r="A27" s="507">
        <v>17</v>
      </c>
      <c r="B27" s="508" t="s">
        <v>592</v>
      </c>
      <c r="C27" s="509" t="s">
        <v>574</v>
      </c>
      <c r="D27" s="507">
        <v>2</v>
      </c>
      <c r="E27" s="507">
        <v>1</v>
      </c>
      <c r="F27" s="323">
        <v>20</v>
      </c>
      <c r="G27" s="323">
        <v>40</v>
      </c>
      <c r="H27" s="323">
        <v>40</v>
      </c>
      <c r="I27" s="323">
        <v>40</v>
      </c>
      <c r="J27" s="324">
        <v>360</v>
      </c>
      <c r="K27" s="324">
        <f t="shared" si="0"/>
        <v>14400</v>
      </c>
    </row>
    <row r="28" spans="1:11" ht="15.75">
      <c r="A28" s="507">
        <v>18</v>
      </c>
      <c r="B28" s="508" t="s">
        <v>593</v>
      </c>
      <c r="C28" s="509" t="s">
        <v>574</v>
      </c>
      <c r="D28" s="507">
        <v>3</v>
      </c>
      <c r="E28" s="507">
        <v>1</v>
      </c>
      <c r="F28" s="323">
        <v>20</v>
      </c>
      <c r="G28" s="323">
        <v>60</v>
      </c>
      <c r="H28" s="323">
        <v>60</v>
      </c>
      <c r="I28" s="323">
        <v>60</v>
      </c>
      <c r="J28" s="324">
        <v>120</v>
      </c>
      <c r="K28" s="324">
        <f t="shared" si="0"/>
        <v>7200</v>
      </c>
    </row>
    <row r="29" spans="1:11" ht="31.5">
      <c r="A29" s="507">
        <v>19</v>
      </c>
      <c r="B29" s="508" t="s">
        <v>594</v>
      </c>
      <c r="C29" s="509" t="s">
        <v>574</v>
      </c>
      <c r="D29" s="507">
        <v>4</v>
      </c>
      <c r="E29" s="507">
        <v>1</v>
      </c>
      <c r="F29" s="323">
        <v>20</v>
      </c>
      <c r="G29" s="323">
        <v>80</v>
      </c>
      <c r="H29" s="323">
        <v>80</v>
      </c>
      <c r="I29" s="323">
        <v>80</v>
      </c>
      <c r="J29" s="324">
        <v>240</v>
      </c>
      <c r="K29" s="324">
        <f t="shared" si="0"/>
        <v>19200</v>
      </c>
    </row>
    <row r="30" spans="1:11" ht="31.5">
      <c r="A30" s="507">
        <v>20</v>
      </c>
      <c r="B30" s="508" t="s">
        <v>595</v>
      </c>
      <c r="C30" s="509" t="s">
        <v>590</v>
      </c>
      <c r="D30" s="507">
        <v>8</v>
      </c>
      <c r="E30" s="507">
        <v>1</v>
      </c>
      <c r="F30" s="323">
        <v>20</v>
      </c>
      <c r="G30" s="323">
        <v>160</v>
      </c>
      <c r="H30" s="323">
        <v>160</v>
      </c>
      <c r="I30" s="323">
        <v>160</v>
      </c>
      <c r="J30" s="324">
        <v>48</v>
      </c>
      <c r="K30" s="324">
        <f t="shared" si="0"/>
        <v>7680</v>
      </c>
    </row>
    <row r="31" spans="1:11" ht="15.75">
      <c r="A31" s="507">
        <v>21</v>
      </c>
      <c r="B31" s="508" t="s">
        <v>596</v>
      </c>
      <c r="C31" s="509" t="s">
        <v>590</v>
      </c>
      <c r="D31" s="507">
        <v>3</v>
      </c>
      <c r="E31" s="507">
        <v>1</v>
      </c>
      <c r="F31" s="323">
        <v>20</v>
      </c>
      <c r="G31" s="323">
        <v>60</v>
      </c>
      <c r="H31" s="323">
        <v>0</v>
      </c>
      <c r="I31" s="323">
        <f>D31*F31-G31+H31</f>
        <v>0</v>
      </c>
      <c r="J31" s="324">
        <v>800</v>
      </c>
      <c r="K31" s="324">
        <f t="shared" si="0"/>
        <v>0</v>
      </c>
    </row>
    <row r="32" spans="1:11" ht="15.75">
      <c r="A32" s="507">
        <v>22</v>
      </c>
      <c r="B32" s="514" t="s">
        <v>597</v>
      </c>
      <c r="C32" s="507" t="s">
        <v>590</v>
      </c>
      <c r="D32" s="507">
        <v>2</v>
      </c>
      <c r="E32" s="507">
        <v>1</v>
      </c>
      <c r="F32" s="323">
        <v>20</v>
      </c>
      <c r="G32" s="323">
        <v>40</v>
      </c>
      <c r="H32" s="323">
        <v>40</v>
      </c>
      <c r="I32" s="323">
        <v>40</v>
      </c>
      <c r="J32" s="324">
        <v>240</v>
      </c>
      <c r="K32" s="324">
        <f t="shared" si="0"/>
        <v>9600</v>
      </c>
    </row>
    <row r="33" spans="1:11" ht="31.5">
      <c r="A33" s="507">
        <v>23</v>
      </c>
      <c r="B33" s="508" t="s">
        <v>598</v>
      </c>
      <c r="C33" s="509" t="s">
        <v>590</v>
      </c>
      <c r="D33" s="507">
        <v>2</v>
      </c>
      <c r="E33" s="507">
        <v>1</v>
      </c>
      <c r="F33" s="323">
        <v>20</v>
      </c>
      <c r="G33" s="323">
        <v>40</v>
      </c>
      <c r="H33" s="323">
        <v>25</v>
      </c>
      <c r="I33" s="323">
        <v>25</v>
      </c>
      <c r="J33" s="324">
        <v>1200</v>
      </c>
      <c r="K33" s="324">
        <f t="shared" si="0"/>
        <v>30000</v>
      </c>
    </row>
    <row r="34" spans="1:11" ht="31.5">
      <c r="A34" s="507">
        <v>24</v>
      </c>
      <c r="B34" s="508" t="s">
        <v>599</v>
      </c>
      <c r="C34" s="509" t="s">
        <v>590</v>
      </c>
      <c r="D34" s="507">
        <v>1</v>
      </c>
      <c r="E34" s="507">
        <v>2</v>
      </c>
      <c r="F34" s="323">
        <v>20</v>
      </c>
      <c r="G34" s="323">
        <v>20</v>
      </c>
      <c r="H34" s="323">
        <v>20</v>
      </c>
      <c r="I34" s="323">
        <v>20</v>
      </c>
      <c r="J34" s="324">
        <v>1200</v>
      </c>
      <c r="K34" s="324">
        <f t="shared" si="0"/>
        <v>24000</v>
      </c>
    </row>
    <row r="35" spans="1:11" ht="15.75">
      <c r="A35" s="507">
        <v>25</v>
      </c>
      <c r="B35" s="508" t="s">
        <v>600</v>
      </c>
      <c r="C35" s="509" t="s">
        <v>574</v>
      </c>
      <c r="D35" s="507">
        <v>1</v>
      </c>
      <c r="E35" s="507">
        <v>2</v>
      </c>
      <c r="F35" s="323">
        <v>20</v>
      </c>
      <c r="G35" s="323">
        <v>20</v>
      </c>
      <c r="H35" s="323">
        <v>0</v>
      </c>
      <c r="I35" s="323">
        <f>D35*F35-G35+H35</f>
        <v>0</v>
      </c>
      <c r="J35" s="324">
        <v>1600</v>
      </c>
      <c r="K35" s="324">
        <f t="shared" si="0"/>
        <v>0</v>
      </c>
    </row>
    <row r="36" spans="1:11" ht="15.75">
      <c r="A36" s="507">
        <v>26</v>
      </c>
      <c r="B36" s="508" t="s">
        <v>601</v>
      </c>
      <c r="C36" s="509" t="s">
        <v>574</v>
      </c>
      <c r="D36" s="507">
        <v>1</v>
      </c>
      <c r="E36" s="507">
        <v>2</v>
      </c>
      <c r="F36" s="323">
        <v>20</v>
      </c>
      <c r="G36" s="323">
        <v>20</v>
      </c>
      <c r="H36" s="323">
        <v>0</v>
      </c>
      <c r="I36" s="323">
        <v>0</v>
      </c>
      <c r="J36" s="324">
        <v>600</v>
      </c>
      <c r="K36" s="324">
        <f t="shared" si="0"/>
        <v>0</v>
      </c>
    </row>
    <row r="37" spans="1:11" ht="15.75">
      <c r="A37" s="507">
        <v>27</v>
      </c>
      <c r="B37" s="508" t="s">
        <v>602</v>
      </c>
      <c r="C37" s="509" t="s">
        <v>574</v>
      </c>
      <c r="D37" s="507">
        <v>2</v>
      </c>
      <c r="E37" s="507">
        <v>1</v>
      </c>
      <c r="F37" s="323">
        <v>20</v>
      </c>
      <c r="G37" s="323">
        <v>40</v>
      </c>
      <c r="H37" s="323">
        <v>38</v>
      </c>
      <c r="I37" s="323">
        <f>D37*F37-G37+H37</f>
        <v>38</v>
      </c>
      <c r="J37" s="324">
        <v>250</v>
      </c>
      <c r="K37" s="324">
        <f t="shared" si="0"/>
        <v>9500</v>
      </c>
    </row>
    <row r="38" spans="1:11" ht="15.75">
      <c r="A38" s="507">
        <v>28</v>
      </c>
      <c r="B38" s="508" t="s">
        <v>603</v>
      </c>
      <c r="C38" s="509" t="s">
        <v>590</v>
      </c>
      <c r="D38" s="507">
        <v>2</v>
      </c>
      <c r="E38" s="507">
        <v>1</v>
      </c>
      <c r="F38" s="323">
        <v>20</v>
      </c>
      <c r="G38" s="323">
        <v>40</v>
      </c>
      <c r="H38" s="323">
        <v>48</v>
      </c>
      <c r="I38" s="323">
        <v>48</v>
      </c>
      <c r="J38" s="324">
        <v>150</v>
      </c>
      <c r="K38" s="324">
        <f t="shared" si="0"/>
        <v>7200</v>
      </c>
    </row>
    <row r="39" spans="1:11" ht="15.75">
      <c r="A39" s="507">
        <v>29</v>
      </c>
      <c r="B39" s="508" t="s">
        <v>604</v>
      </c>
      <c r="C39" s="509" t="s">
        <v>574</v>
      </c>
      <c r="D39" s="507">
        <v>1</v>
      </c>
      <c r="E39" s="507">
        <v>1</v>
      </c>
      <c r="F39" s="323">
        <v>20</v>
      </c>
      <c r="G39" s="323">
        <v>20</v>
      </c>
      <c r="H39" s="323">
        <v>20</v>
      </c>
      <c r="I39" s="323">
        <f>D39*F39-G39+H39</f>
        <v>20</v>
      </c>
      <c r="J39" s="324">
        <v>300</v>
      </c>
      <c r="K39" s="324">
        <f t="shared" si="0"/>
        <v>6000</v>
      </c>
    </row>
    <row r="40" spans="1:11" ht="15.75">
      <c r="A40" s="507">
        <v>30</v>
      </c>
      <c r="B40" s="508" t="s">
        <v>605</v>
      </c>
      <c r="C40" s="509" t="s">
        <v>574</v>
      </c>
      <c r="D40" s="507">
        <v>1</v>
      </c>
      <c r="E40" s="507">
        <v>2</v>
      </c>
      <c r="F40" s="323">
        <v>20</v>
      </c>
      <c r="G40" s="323">
        <v>20</v>
      </c>
      <c r="H40" s="323">
        <v>0</v>
      </c>
      <c r="I40" s="323">
        <v>20</v>
      </c>
      <c r="J40" s="324">
        <v>60</v>
      </c>
      <c r="K40" s="324">
        <f t="shared" si="0"/>
        <v>1200</v>
      </c>
    </row>
    <row r="41" spans="1:11" ht="15.75">
      <c r="A41" s="507">
        <v>31</v>
      </c>
      <c r="B41" s="508" t="s">
        <v>606</v>
      </c>
      <c r="C41" s="509" t="s">
        <v>578</v>
      </c>
      <c r="D41" s="507">
        <v>1</v>
      </c>
      <c r="E41" s="507">
        <v>2</v>
      </c>
      <c r="F41" s="323">
        <v>20</v>
      </c>
      <c r="G41" s="323">
        <v>20</v>
      </c>
      <c r="H41" s="323">
        <v>0</v>
      </c>
      <c r="I41" s="323">
        <v>0</v>
      </c>
      <c r="J41" s="324">
        <v>1000</v>
      </c>
      <c r="K41" s="324">
        <f t="shared" si="0"/>
        <v>0</v>
      </c>
    </row>
    <row r="42" spans="1:11" ht="15.75">
      <c r="A42" s="507">
        <v>32</v>
      </c>
      <c r="B42" s="508" t="s">
        <v>607</v>
      </c>
      <c r="C42" s="509" t="s">
        <v>574</v>
      </c>
      <c r="D42" s="507">
        <v>2</v>
      </c>
      <c r="E42" s="507">
        <v>2</v>
      </c>
      <c r="F42" s="323">
        <v>20</v>
      </c>
      <c r="G42" s="323">
        <v>40</v>
      </c>
      <c r="H42" s="323">
        <v>24</v>
      </c>
      <c r="I42" s="323">
        <f>D42*F42-G42+H42</f>
        <v>24</v>
      </c>
      <c r="J42" s="324">
        <v>800</v>
      </c>
      <c r="K42" s="324">
        <f t="shared" si="0"/>
        <v>19200</v>
      </c>
    </row>
    <row r="43" spans="1:11" s="496" customFormat="1" ht="15.75">
      <c r="A43" s="507">
        <v>33</v>
      </c>
      <c r="B43" s="508" t="s">
        <v>608</v>
      </c>
      <c r="C43" s="509" t="s">
        <v>574</v>
      </c>
      <c r="D43" s="507">
        <v>1</v>
      </c>
      <c r="E43" s="507">
        <v>5</v>
      </c>
      <c r="F43" s="323">
        <v>20</v>
      </c>
      <c r="G43" s="323">
        <v>20</v>
      </c>
      <c r="H43" s="323">
        <v>0</v>
      </c>
      <c r="I43" s="323">
        <f>D43*F43-G43+H43</f>
        <v>0</v>
      </c>
      <c r="J43" s="324">
        <v>1900</v>
      </c>
      <c r="K43" s="324">
        <f>J43*I43</f>
        <v>0</v>
      </c>
    </row>
    <row r="44" spans="1:11" ht="15.75">
      <c r="A44" s="318"/>
      <c r="B44" s="948" t="s">
        <v>568</v>
      </c>
      <c r="C44" s="949"/>
      <c r="D44" s="949"/>
      <c r="E44" s="949"/>
      <c r="F44" s="949"/>
      <c r="G44" s="949"/>
      <c r="H44" s="949"/>
      <c r="I44" s="949"/>
      <c r="J44" s="950"/>
      <c r="K44" s="325">
        <f>SUM(K11:K43)</f>
        <v>351840</v>
      </c>
    </row>
    <row r="45" spans="1:11" ht="15.75">
      <c r="A45" s="316"/>
      <c r="B45" s="316"/>
      <c r="C45" s="316"/>
      <c r="D45" s="316"/>
      <c r="E45" s="316"/>
      <c r="F45" s="316"/>
      <c r="G45" s="316"/>
      <c r="H45" s="316"/>
      <c r="I45" s="316"/>
      <c r="J45" s="316"/>
      <c r="K45" s="316"/>
    </row>
    <row r="46" spans="1:11" ht="18.75">
      <c r="A46" s="940" t="s">
        <v>609</v>
      </c>
      <c r="B46" s="940"/>
      <c r="C46" s="940"/>
      <c r="D46" s="940"/>
      <c r="E46" s="940"/>
      <c r="F46" s="940"/>
      <c r="G46" s="940"/>
      <c r="H46" s="940"/>
      <c r="I46" s="940"/>
      <c r="J46" s="940"/>
      <c r="K46" s="940"/>
    </row>
    <row r="47" spans="1:11" ht="15.75">
      <c r="A47" s="317"/>
      <c r="B47" s="317"/>
      <c r="C47" s="317"/>
      <c r="D47" s="317"/>
      <c r="E47" s="317"/>
      <c r="F47" s="317"/>
      <c r="G47" s="317"/>
      <c r="H47" s="317"/>
      <c r="I47" s="317"/>
      <c r="J47" s="317"/>
      <c r="K47" s="317"/>
    </row>
    <row r="48" spans="1:11" ht="15.75">
      <c r="A48" s="941" t="s">
        <v>556</v>
      </c>
      <c r="B48" s="951" t="s">
        <v>2</v>
      </c>
      <c r="C48" s="941" t="s">
        <v>557</v>
      </c>
      <c r="D48" s="941" t="s">
        <v>558</v>
      </c>
      <c r="E48" s="941" t="s">
        <v>559</v>
      </c>
      <c r="F48" s="941" t="s">
        <v>560</v>
      </c>
      <c r="G48" s="945" t="s">
        <v>561</v>
      </c>
      <c r="H48" s="947"/>
      <c r="I48" s="953" t="s">
        <v>610</v>
      </c>
      <c r="J48" s="954"/>
      <c r="K48" s="954"/>
    </row>
    <row r="49" spans="1:11" ht="78.75">
      <c r="A49" s="942"/>
      <c r="B49" s="952"/>
      <c r="C49" s="942"/>
      <c r="D49" s="942"/>
      <c r="E49" s="942"/>
      <c r="F49" s="942"/>
      <c r="G49" s="313" t="s">
        <v>306</v>
      </c>
      <c r="H49" s="311" t="s">
        <v>611</v>
      </c>
      <c r="I49" s="312" t="s">
        <v>564</v>
      </c>
      <c r="J49" s="312" t="s">
        <v>565</v>
      </c>
      <c r="K49" s="312" t="s">
        <v>566</v>
      </c>
    </row>
    <row r="50" spans="1:11" ht="15.75">
      <c r="A50" s="515">
        <v>1</v>
      </c>
      <c r="B50" s="516" t="s">
        <v>612</v>
      </c>
      <c r="C50" s="516" t="s">
        <v>574</v>
      </c>
      <c r="D50" s="517">
        <v>1</v>
      </c>
      <c r="E50" s="517">
        <v>2</v>
      </c>
      <c r="F50" s="515">
        <v>12</v>
      </c>
      <c r="G50" s="518">
        <v>12</v>
      </c>
      <c r="H50" s="515">
        <v>0</v>
      </c>
      <c r="I50" s="519">
        <f>D50*F50-G50+H50</f>
        <v>0</v>
      </c>
      <c r="J50" s="520">
        <v>2000</v>
      </c>
      <c r="K50" s="521">
        <f>J50*I50</f>
        <v>0</v>
      </c>
    </row>
    <row r="51" spans="1:11" ht="31.5">
      <c r="A51" s="515">
        <v>2</v>
      </c>
      <c r="B51" s="516" t="s">
        <v>575</v>
      </c>
      <c r="C51" s="516" t="s">
        <v>574</v>
      </c>
      <c r="D51" s="517">
        <v>1</v>
      </c>
      <c r="E51" s="517">
        <v>2</v>
      </c>
      <c r="F51" s="515">
        <v>12</v>
      </c>
      <c r="G51" s="518">
        <v>12</v>
      </c>
      <c r="H51" s="515">
        <v>0</v>
      </c>
      <c r="I51" s="519">
        <f>D51*F51-G51+H51</f>
        <v>0</v>
      </c>
      <c r="J51" s="520">
        <v>800</v>
      </c>
      <c r="K51" s="521">
        <f aca="true" t="shared" si="1" ref="K51:K85">J51*I51</f>
        <v>0</v>
      </c>
    </row>
    <row r="52" spans="1:11" ht="31.5">
      <c r="A52" s="515">
        <v>3</v>
      </c>
      <c r="B52" s="516" t="s">
        <v>613</v>
      </c>
      <c r="C52" s="516" t="s">
        <v>574</v>
      </c>
      <c r="D52" s="517">
        <v>1</v>
      </c>
      <c r="E52" s="517">
        <v>2</v>
      </c>
      <c r="F52" s="515">
        <v>12</v>
      </c>
      <c r="G52" s="518">
        <v>12</v>
      </c>
      <c r="H52" s="515">
        <v>2</v>
      </c>
      <c r="I52" s="519">
        <f>D52*F52-G52+H52</f>
        <v>2</v>
      </c>
      <c r="J52" s="520">
        <v>1200</v>
      </c>
      <c r="K52" s="521">
        <f t="shared" si="1"/>
        <v>2400</v>
      </c>
    </row>
    <row r="53" spans="1:11" ht="31.5">
      <c r="A53" s="515">
        <v>4</v>
      </c>
      <c r="B53" s="516" t="s">
        <v>577</v>
      </c>
      <c r="C53" s="516" t="s">
        <v>578</v>
      </c>
      <c r="D53" s="517">
        <v>2</v>
      </c>
      <c r="E53" s="517">
        <v>2</v>
      </c>
      <c r="F53" s="515">
        <v>12</v>
      </c>
      <c r="G53" s="518">
        <v>24</v>
      </c>
      <c r="H53" s="515">
        <v>16</v>
      </c>
      <c r="I53" s="519">
        <v>8</v>
      </c>
      <c r="J53" s="520">
        <v>1500</v>
      </c>
      <c r="K53" s="521">
        <f t="shared" si="1"/>
        <v>12000</v>
      </c>
    </row>
    <row r="54" spans="1:11" ht="15.75">
      <c r="A54" s="515">
        <v>5</v>
      </c>
      <c r="B54" s="516" t="s">
        <v>614</v>
      </c>
      <c r="C54" s="516" t="s">
        <v>574</v>
      </c>
      <c r="D54" s="517">
        <v>2</v>
      </c>
      <c r="E54" s="517">
        <v>2</v>
      </c>
      <c r="F54" s="515">
        <v>12</v>
      </c>
      <c r="G54" s="518">
        <v>24</v>
      </c>
      <c r="H54" s="515">
        <v>16</v>
      </c>
      <c r="I54" s="519">
        <v>8</v>
      </c>
      <c r="J54" s="520">
        <v>600</v>
      </c>
      <c r="K54" s="521">
        <f t="shared" si="1"/>
        <v>4800</v>
      </c>
    </row>
    <row r="55" spans="1:11" ht="31.5">
      <c r="A55" s="515">
        <v>6</v>
      </c>
      <c r="B55" s="516" t="s">
        <v>615</v>
      </c>
      <c r="C55" s="516" t="s">
        <v>574</v>
      </c>
      <c r="D55" s="517">
        <v>2</v>
      </c>
      <c r="E55" s="517">
        <v>1</v>
      </c>
      <c r="F55" s="515">
        <v>12</v>
      </c>
      <c r="G55" s="518">
        <v>24</v>
      </c>
      <c r="H55" s="515">
        <v>16</v>
      </c>
      <c r="I55" s="519">
        <v>8</v>
      </c>
      <c r="J55" s="520">
        <v>500</v>
      </c>
      <c r="K55" s="521">
        <f t="shared" si="1"/>
        <v>4000</v>
      </c>
    </row>
    <row r="56" spans="1:11" ht="31.5">
      <c r="A56" s="515">
        <v>7</v>
      </c>
      <c r="B56" s="516" t="s">
        <v>583</v>
      </c>
      <c r="C56" s="516" t="s">
        <v>574</v>
      </c>
      <c r="D56" s="517">
        <v>2</v>
      </c>
      <c r="E56" s="517">
        <v>1</v>
      </c>
      <c r="F56" s="515">
        <v>12</v>
      </c>
      <c r="G56" s="518">
        <v>24</v>
      </c>
      <c r="H56" s="515">
        <v>16</v>
      </c>
      <c r="I56" s="519">
        <v>16</v>
      </c>
      <c r="J56" s="520">
        <v>500</v>
      </c>
      <c r="K56" s="521">
        <f t="shared" si="1"/>
        <v>8000</v>
      </c>
    </row>
    <row r="57" spans="1:11" ht="47.25">
      <c r="A57" s="515">
        <v>8</v>
      </c>
      <c r="B57" s="516" t="s">
        <v>616</v>
      </c>
      <c r="C57" s="516" t="s">
        <v>574</v>
      </c>
      <c r="D57" s="517">
        <v>1</v>
      </c>
      <c r="E57" s="517">
        <v>2</v>
      </c>
      <c r="F57" s="515">
        <v>12</v>
      </c>
      <c r="G57" s="518">
        <v>12</v>
      </c>
      <c r="H57" s="515">
        <v>3</v>
      </c>
      <c r="I57" s="519">
        <f>D57*F57-G57+H57</f>
        <v>3</v>
      </c>
      <c r="J57" s="520">
        <v>1000</v>
      </c>
      <c r="K57" s="521">
        <f t="shared" si="1"/>
        <v>3000</v>
      </c>
    </row>
    <row r="58" spans="1:11" ht="48" customHeight="1">
      <c r="A58" s="515">
        <v>9</v>
      </c>
      <c r="B58" s="516" t="s">
        <v>617</v>
      </c>
      <c r="C58" s="516" t="s">
        <v>574</v>
      </c>
      <c r="D58" s="517">
        <v>1</v>
      </c>
      <c r="E58" s="517">
        <v>2</v>
      </c>
      <c r="F58" s="515">
        <v>12</v>
      </c>
      <c r="G58" s="518">
        <v>12</v>
      </c>
      <c r="H58" s="515">
        <v>0</v>
      </c>
      <c r="I58" s="519">
        <f>D58*F58-G58+H58</f>
        <v>0</v>
      </c>
      <c r="J58" s="520">
        <v>800</v>
      </c>
      <c r="K58" s="521">
        <f t="shared" si="1"/>
        <v>0</v>
      </c>
    </row>
    <row r="59" spans="1:11" ht="31.5">
      <c r="A59" s="515">
        <v>10</v>
      </c>
      <c r="B59" s="516" t="s">
        <v>618</v>
      </c>
      <c r="C59" s="516" t="s">
        <v>574</v>
      </c>
      <c r="D59" s="517">
        <v>2</v>
      </c>
      <c r="E59" s="517">
        <v>1</v>
      </c>
      <c r="F59" s="515">
        <v>12</v>
      </c>
      <c r="G59" s="518">
        <v>24</v>
      </c>
      <c r="H59" s="515">
        <v>24</v>
      </c>
      <c r="I59" s="519">
        <f>D59*F59-G59+H59</f>
        <v>24</v>
      </c>
      <c r="J59" s="520">
        <v>100</v>
      </c>
      <c r="K59" s="521">
        <f t="shared" si="1"/>
        <v>2400</v>
      </c>
    </row>
    <row r="60" spans="1:11" ht="15.75">
      <c r="A60" s="515">
        <v>11</v>
      </c>
      <c r="B60" s="516" t="s">
        <v>585</v>
      </c>
      <c r="C60" s="516" t="s">
        <v>574</v>
      </c>
      <c r="D60" s="517">
        <v>1</v>
      </c>
      <c r="E60" s="517">
        <v>1</v>
      </c>
      <c r="F60" s="515">
        <v>12</v>
      </c>
      <c r="G60" s="518">
        <v>12</v>
      </c>
      <c r="H60" s="515">
        <v>0</v>
      </c>
      <c r="I60" s="519">
        <f>D60*F60-G60+H60</f>
        <v>0</v>
      </c>
      <c r="J60" s="520">
        <v>120</v>
      </c>
      <c r="K60" s="521">
        <f t="shared" si="1"/>
        <v>0</v>
      </c>
    </row>
    <row r="61" spans="1:11" ht="15.75">
      <c r="A61" s="515">
        <v>12</v>
      </c>
      <c r="B61" s="516" t="s">
        <v>584</v>
      </c>
      <c r="C61" s="516" t="s">
        <v>574</v>
      </c>
      <c r="D61" s="517">
        <v>1</v>
      </c>
      <c r="E61" s="517">
        <v>2</v>
      </c>
      <c r="F61" s="515">
        <v>12</v>
      </c>
      <c r="G61" s="518">
        <v>12</v>
      </c>
      <c r="H61" s="515">
        <v>3</v>
      </c>
      <c r="I61" s="519">
        <f>D61*F61-G61+H61</f>
        <v>3</v>
      </c>
      <c r="J61" s="520">
        <v>550</v>
      </c>
      <c r="K61" s="521">
        <f t="shared" si="1"/>
        <v>1650</v>
      </c>
    </row>
    <row r="62" spans="1:11" ht="15.75">
      <c r="A62" s="515">
        <v>13</v>
      </c>
      <c r="B62" s="516" t="s">
        <v>619</v>
      </c>
      <c r="C62" s="516" t="s">
        <v>574</v>
      </c>
      <c r="D62" s="517">
        <v>5</v>
      </c>
      <c r="E62" s="517">
        <v>1</v>
      </c>
      <c r="F62" s="515">
        <v>12</v>
      </c>
      <c r="G62" s="518">
        <v>40</v>
      </c>
      <c r="H62" s="515">
        <v>0</v>
      </c>
      <c r="I62" s="519">
        <v>0</v>
      </c>
      <c r="J62" s="520">
        <v>10</v>
      </c>
      <c r="K62" s="521">
        <f t="shared" si="1"/>
        <v>0</v>
      </c>
    </row>
    <row r="63" spans="1:11" ht="36" customHeight="1">
      <c r="A63" s="515">
        <v>14</v>
      </c>
      <c r="B63" s="516" t="s">
        <v>620</v>
      </c>
      <c r="C63" s="516" t="s">
        <v>574</v>
      </c>
      <c r="D63" s="517">
        <v>2</v>
      </c>
      <c r="E63" s="517">
        <v>2</v>
      </c>
      <c r="F63" s="515">
        <v>12</v>
      </c>
      <c r="G63" s="518">
        <v>24</v>
      </c>
      <c r="H63" s="515">
        <v>16</v>
      </c>
      <c r="I63" s="519">
        <f>D63*F63-G63+H63</f>
        <v>16</v>
      </c>
      <c r="J63" s="520">
        <v>500</v>
      </c>
      <c r="K63" s="521">
        <f t="shared" si="1"/>
        <v>8000</v>
      </c>
    </row>
    <row r="64" spans="1:11" ht="31.5">
      <c r="A64" s="515">
        <v>15</v>
      </c>
      <c r="B64" s="516" t="s">
        <v>621</v>
      </c>
      <c r="C64" s="516" t="s">
        <v>574</v>
      </c>
      <c r="D64" s="517">
        <v>1</v>
      </c>
      <c r="E64" s="517">
        <v>1</v>
      </c>
      <c r="F64" s="515">
        <v>12</v>
      </c>
      <c r="G64" s="518">
        <v>12</v>
      </c>
      <c r="H64" s="515">
        <v>0</v>
      </c>
      <c r="I64" s="519">
        <v>8</v>
      </c>
      <c r="J64" s="520">
        <v>600</v>
      </c>
      <c r="K64" s="521">
        <f t="shared" si="1"/>
        <v>4800</v>
      </c>
    </row>
    <row r="65" spans="1:11" ht="15.75">
      <c r="A65" s="515">
        <v>16</v>
      </c>
      <c r="B65" s="516" t="s">
        <v>588</v>
      </c>
      <c r="C65" s="516" t="s">
        <v>574</v>
      </c>
      <c r="D65" s="517">
        <v>1</v>
      </c>
      <c r="E65" s="517">
        <v>2</v>
      </c>
      <c r="F65" s="515">
        <v>12</v>
      </c>
      <c r="G65" s="518">
        <v>12</v>
      </c>
      <c r="H65" s="515">
        <v>0</v>
      </c>
      <c r="I65" s="519">
        <v>8</v>
      </c>
      <c r="J65" s="520">
        <v>450</v>
      </c>
      <c r="K65" s="521">
        <f t="shared" si="1"/>
        <v>3600</v>
      </c>
    </row>
    <row r="66" spans="1:11" ht="15.75">
      <c r="A66" s="515">
        <v>17</v>
      </c>
      <c r="B66" s="516" t="s">
        <v>589</v>
      </c>
      <c r="C66" s="516" t="s">
        <v>622</v>
      </c>
      <c r="D66" s="517">
        <v>2</v>
      </c>
      <c r="E66" s="517">
        <v>1</v>
      </c>
      <c r="F66" s="515">
        <v>12</v>
      </c>
      <c r="G66" s="518">
        <v>24</v>
      </c>
      <c r="H66" s="515">
        <v>16</v>
      </c>
      <c r="I66" s="519">
        <f>D66*F66-G66+H66</f>
        <v>16</v>
      </c>
      <c r="J66" s="520">
        <v>120</v>
      </c>
      <c r="K66" s="521">
        <f t="shared" si="1"/>
        <v>1920</v>
      </c>
    </row>
    <row r="67" spans="1:11" ht="15.75">
      <c r="A67" s="515">
        <v>18</v>
      </c>
      <c r="B67" s="516" t="s">
        <v>623</v>
      </c>
      <c r="C67" s="516" t="s">
        <v>574</v>
      </c>
      <c r="D67" s="517">
        <v>4</v>
      </c>
      <c r="E67" s="517">
        <v>1</v>
      </c>
      <c r="F67" s="515">
        <v>12</v>
      </c>
      <c r="G67" s="518">
        <v>48</v>
      </c>
      <c r="H67" s="515">
        <v>28</v>
      </c>
      <c r="I67" s="519">
        <v>20</v>
      </c>
      <c r="J67" s="520">
        <v>300</v>
      </c>
      <c r="K67" s="521">
        <f t="shared" si="1"/>
        <v>6000</v>
      </c>
    </row>
    <row r="68" spans="1:11" ht="15.75">
      <c r="A68" s="515">
        <v>19</v>
      </c>
      <c r="B68" s="516" t="s">
        <v>624</v>
      </c>
      <c r="C68" s="516" t="s">
        <v>574</v>
      </c>
      <c r="D68" s="517">
        <v>5</v>
      </c>
      <c r="E68" s="517">
        <v>1</v>
      </c>
      <c r="F68" s="515">
        <v>12</v>
      </c>
      <c r="G68" s="518">
        <v>60</v>
      </c>
      <c r="H68" s="515">
        <v>40</v>
      </c>
      <c r="I68" s="519">
        <f>D68*F68-G68+H68</f>
        <v>40</v>
      </c>
      <c r="J68" s="520">
        <v>80</v>
      </c>
      <c r="K68" s="521">
        <f>J68*I68</f>
        <v>3200</v>
      </c>
    </row>
    <row r="69" spans="1:11" ht="15.75">
      <c r="A69" s="515">
        <v>20</v>
      </c>
      <c r="B69" s="516" t="s">
        <v>625</v>
      </c>
      <c r="C69" s="516" t="s">
        <v>574</v>
      </c>
      <c r="D69" s="517">
        <v>2</v>
      </c>
      <c r="E69" s="517">
        <v>1</v>
      </c>
      <c r="F69" s="519">
        <v>12</v>
      </c>
      <c r="G69" s="519">
        <v>24</v>
      </c>
      <c r="H69" s="519">
        <v>8</v>
      </c>
      <c r="I69" s="519">
        <v>16</v>
      </c>
      <c r="J69" s="522">
        <v>250</v>
      </c>
      <c r="K69" s="521">
        <f t="shared" si="1"/>
        <v>4000</v>
      </c>
    </row>
    <row r="70" spans="1:11" ht="15.75">
      <c r="A70" s="515">
        <v>21</v>
      </c>
      <c r="B70" s="516" t="s">
        <v>626</v>
      </c>
      <c r="C70" s="516" t="s">
        <v>574</v>
      </c>
      <c r="D70" s="517">
        <v>3</v>
      </c>
      <c r="E70" s="517">
        <v>1</v>
      </c>
      <c r="F70" s="515">
        <v>12</v>
      </c>
      <c r="G70" s="518">
        <v>24</v>
      </c>
      <c r="H70" s="519">
        <v>36</v>
      </c>
      <c r="I70" s="519">
        <v>36</v>
      </c>
      <c r="J70" s="522">
        <v>80</v>
      </c>
      <c r="K70" s="521">
        <f t="shared" si="1"/>
        <v>2880</v>
      </c>
    </row>
    <row r="71" spans="1:11" ht="31.5">
      <c r="A71" s="515">
        <v>22</v>
      </c>
      <c r="B71" s="516" t="s">
        <v>627</v>
      </c>
      <c r="C71" s="516" t="s">
        <v>574</v>
      </c>
      <c r="D71" s="517">
        <v>2</v>
      </c>
      <c r="E71" s="517">
        <v>1</v>
      </c>
      <c r="F71" s="515">
        <v>12</v>
      </c>
      <c r="G71" s="518">
        <v>24</v>
      </c>
      <c r="H71" s="519">
        <v>16</v>
      </c>
      <c r="I71" s="519">
        <f>D71*F71-G71+H71</f>
        <v>16</v>
      </c>
      <c r="J71" s="522">
        <v>250</v>
      </c>
      <c r="K71" s="521">
        <f t="shared" si="1"/>
        <v>4000</v>
      </c>
    </row>
    <row r="72" spans="1:11" ht="31.5">
      <c r="A72" s="515">
        <v>23</v>
      </c>
      <c r="B72" s="516" t="s">
        <v>628</v>
      </c>
      <c r="C72" s="516" t="s">
        <v>629</v>
      </c>
      <c r="D72" s="517">
        <v>8</v>
      </c>
      <c r="E72" s="517">
        <v>1</v>
      </c>
      <c r="F72" s="519">
        <v>12</v>
      </c>
      <c r="G72" s="519">
        <v>96</v>
      </c>
      <c r="H72" s="519">
        <v>32</v>
      </c>
      <c r="I72" s="519">
        <v>64</v>
      </c>
      <c r="J72" s="522">
        <v>40</v>
      </c>
      <c r="K72" s="521">
        <f t="shared" si="1"/>
        <v>2560</v>
      </c>
    </row>
    <row r="73" spans="1:11" ht="15.75">
      <c r="A73" s="515">
        <v>24</v>
      </c>
      <c r="B73" s="516" t="s">
        <v>630</v>
      </c>
      <c r="C73" s="516" t="s">
        <v>629</v>
      </c>
      <c r="D73" s="517">
        <v>3</v>
      </c>
      <c r="E73" s="517">
        <v>1</v>
      </c>
      <c r="F73" s="519">
        <v>12</v>
      </c>
      <c r="G73" s="519">
        <v>24</v>
      </c>
      <c r="H73" s="519">
        <v>0</v>
      </c>
      <c r="I73" s="519">
        <v>0</v>
      </c>
      <c r="J73" s="522">
        <v>700</v>
      </c>
      <c r="K73" s="521">
        <f t="shared" si="1"/>
        <v>0</v>
      </c>
    </row>
    <row r="74" spans="1:11" ht="15.75">
      <c r="A74" s="515">
        <v>25</v>
      </c>
      <c r="B74" s="516" t="s">
        <v>597</v>
      </c>
      <c r="C74" s="516" t="s">
        <v>629</v>
      </c>
      <c r="D74" s="517">
        <v>2</v>
      </c>
      <c r="E74" s="517">
        <v>1</v>
      </c>
      <c r="F74" s="515">
        <v>12</v>
      </c>
      <c r="G74" s="518">
        <v>24</v>
      </c>
      <c r="H74" s="519">
        <v>16</v>
      </c>
      <c r="I74" s="519">
        <f>D74*F74-G74+H74</f>
        <v>16</v>
      </c>
      <c r="J74" s="522">
        <v>200</v>
      </c>
      <c r="K74" s="521">
        <f t="shared" si="1"/>
        <v>3200</v>
      </c>
    </row>
    <row r="75" spans="1:11" ht="31.5">
      <c r="A75" s="515">
        <v>26</v>
      </c>
      <c r="B75" s="516" t="s">
        <v>631</v>
      </c>
      <c r="C75" s="516" t="s">
        <v>629</v>
      </c>
      <c r="D75" s="517">
        <v>2</v>
      </c>
      <c r="E75" s="517">
        <v>1</v>
      </c>
      <c r="F75" s="519">
        <v>12</v>
      </c>
      <c r="G75" s="519">
        <v>16</v>
      </c>
      <c r="H75" s="519">
        <v>9</v>
      </c>
      <c r="I75" s="519">
        <v>9</v>
      </c>
      <c r="J75" s="522">
        <v>1800</v>
      </c>
      <c r="K75" s="521">
        <f t="shared" si="1"/>
        <v>16200</v>
      </c>
    </row>
    <row r="76" spans="1:11" ht="31.5">
      <c r="A76" s="515">
        <v>27</v>
      </c>
      <c r="B76" s="516" t="s">
        <v>632</v>
      </c>
      <c r="C76" s="516" t="s">
        <v>629</v>
      </c>
      <c r="D76" s="517">
        <v>1</v>
      </c>
      <c r="E76" s="517">
        <v>2</v>
      </c>
      <c r="F76" s="519">
        <v>12</v>
      </c>
      <c r="G76" s="519">
        <v>12</v>
      </c>
      <c r="H76" s="519">
        <v>8</v>
      </c>
      <c r="I76" s="519">
        <v>8</v>
      </c>
      <c r="J76" s="522">
        <v>1200</v>
      </c>
      <c r="K76" s="521">
        <f t="shared" si="1"/>
        <v>9600</v>
      </c>
    </row>
    <row r="77" spans="1:11" ht="15.75">
      <c r="A77" s="515">
        <v>28</v>
      </c>
      <c r="B77" s="516" t="s">
        <v>633</v>
      </c>
      <c r="C77" s="516" t="s">
        <v>574</v>
      </c>
      <c r="D77" s="517">
        <v>1</v>
      </c>
      <c r="E77" s="517">
        <v>2</v>
      </c>
      <c r="F77" s="519">
        <v>12</v>
      </c>
      <c r="G77" s="519">
        <v>12</v>
      </c>
      <c r="H77" s="519">
        <v>0</v>
      </c>
      <c r="I77" s="519">
        <f>D77*F77-G77+H77</f>
        <v>0</v>
      </c>
      <c r="J77" s="522">
        <v>1600</v>
      </c>
      <c r="K77" s="521">
        <f t="shared" si="1"/>
        <v>0</v>
      </c>
    </row>
    <row r="78" spans="1:11" ht="15.75">
      <c r="A78" s="515">
        <v>29</v>
      </c>
      <c r="B78" s="516" t="s">
        <v>601</v>
      </c>
      <c r="C78" s="516" t="s">
        <v>574</v>
      </c>
      <c r="D78" s="517">
        <v>1</v>
      </c>
      <c r="E78" s="517">
        <v>2</v>
      </c>
      <c r="F78" s="519">
        <v>12</v>
      </c>
      <c r="G78" s="519">
        <v>12</v>
      </c>
      <c r="H78" s="519">
        <v>0</v>
      </c>
      <c r="I78" s="519">
        <v>4</v>
      </c>
      <c r="J78" s="522">
        <v>200</v>
      </c>
      <c r="K78" s="521">
        <f t="shared" si="1"/>
        <v>800</v>
      </c>
    </row>
    <row r="79" spans="1:11" ht="31.5">
      <c r="A79" s="515">
        <v>30</v>
      </c>
      <c r="B79" s="516" t="s">
        <v>634</v>
      </c>
      <c r="C79" s="516" t="s">
        <v>574</v>
      </c>
      <c r="D79" s="517">
        <v>2</v>
      </c>
      <c r="E79" s="517">
        <v>1</v>
      </c>
      <c r="F79" s="515">
        <v>12</v>
      </c>
      <c r="G79" s="518">
        <v>24</v>
      </c>
      <c r="H79" s="519">
        <v>16</v>
      </c>
      <c r="I79" s="519">
        <f>D79*F79-G79+H79</f>
        <v>16</v>
      </c>
      <c r="J79" s="522">
        <v>250</v>
      </c>
      <c r="K79" s="521">
        <f t="shared" si="1"/>
        <v>4000</v>
      </c>
    </row>
    <row r="80" spans="1:11" ht="15.75">
      <c r="A80" s="515">
        <v>31</v>
      </c>
      <c r="B80" s="516" t="s">
        <v>635</v>
      </c>
      <c r="C80" s="516" t="s">
        <v>574</v>
      </c>
      <c r="D80" s="517">
        <v>10</v>
      </c>
      <c r="E80" s="517">
        <v>1</v>
      </c>
      <c r="F80" s="519">
        <v>12</v>
      </c>
      <c r="G80" s="519">
        <v>120</v>
      </c>
      <c r="H80" s="519">
        <v>40</v>
      </c>
      <c r="I80" s="519">
        <v>80</v>
      </c>
      <c r="J80" s="522">
        <v>130</v>
      </c>
      <c r="K80" s="521">
        <f>J80*I80</f>
        <v>10400</v>
      </c>
    </row>
    <row r="81" spans="1:11" ht="15.75">
      <c r="A81" s="515">
        <v>32</v>
      </c>
      <c r="B81" s="516" t="s">
        <v>636</v>
      </c>
      <c r="C81" s="516" t="s">
        <v>574</v>
      </c>
      <c r="D81" s="517">
        <v>1</v>
      </c>
      <c r="E81" s="517">
        <v>1</v>
      </c>
      <c r="F81" s="519">
        <v>12</v>
      </c>
      <c r="G81" s="519">
        <v>12</v>
      </c>
      <c r="H81" s="519">
        <v>8</v>
      </c>
      <c r="I81" s="519">
        <v>8</v>
      </c>
      <c r="J81" s="522">
        <v>500</v>
      </c>
      <c r="K81" s="521">
        <f t="shared" si="1"/>
        <v>4000</v>
      </c>
    </row>
    <row r="82" spans="1:11" ht="15.75">
      <c r="A82" s="515">
        <v>33</v>
      </c>
      <c r="B82" s="516" t="s">
        <v>637</v>
      </c>
      <c r="C82" s="516" t="s">
        <v>574</v>
      </c>
      <c r="D82" s="517">
        <v>1</v>
      </c>
      <c r="E82" s="517">
        <v>2</v>
      </c>
      <c r="F82" s="519">
        <v>12</v>
      </c>
      <c r="G82" s="519">
        <v>12</v>
      </c>
      <c r="H82" s="519">
        <v>8</v>
      </c>
      <c r="I82" s="519">
        <v>8</v>
      </c>
      <c r="J82" s="522">
        <v>50</v>
      </c>
      <c r="K82" s="521">
        <f t="shared" si="1"/>
        <v>400</v>
      </c>
    </row>
    <row r="83" spans="1:11" ht="15.75">
      <c r="A83" s="515">
        <v>34</v>
      </c>
      <c r="B83" s="516" t="s">
        <v>606</v>
      </c>
      <c r="C83" s="516" t="s">
        <v>578</v>
      </c>
      <c r="D83" s="517">
        <v>1</v>
      </c>
      <c r="E83" s="517">
        <v>2</v>
      </c>
      <c r="F83" s="519">
        <v>12</v>
      </c>
      <c r="G83" s="519">
        <v>12</v>
      </c>
      <c r="H83" s="519">
        <v>0</v>
      </c>
      <c r="I83" s="519">
        <f>D83*F83-G83+H83</f>
        <v>0</v>
      </c>
      <c r="J83" s="522">
        <v>500</v>
      </c>
      <c r="K83" s="521">
        <f t="shared" si="1"/>
        <v>0</v>
      </c>
    </row>
    <row r="84" spans="1:11" ht="15.75">
      <c r="A84" s="515">
        <v>35</v>
      </c>
      <c r="B84" s="516" t="s">
        <v>638</v>
      </c>
      <c r="C84" s="516" t="s">
        <v>574</v>
      </c>
      <c r="D84" s="517">
        <v>2</v>
      </c>
      <c r="E84" s="517">
        <v>2</v>
      </c>
      <c r="F84" s="519">
        <v>12</v>
      </c>
      <c r="G84" s="519">
        <v>24</v>
      </c>
      <c r="H84" s="519">
        <v>8</v>
      </c>
      <c r="I84" s="519">
        <f>D84*F84-G84+H84</f>
        <v>8</v>
      </c>
      <c r="J84" s="522">
        <v>800</v>
      </c>
      <c r="K84" s="521">
        <f t="shared" si="1"/>
        <v>6400</v>
      </c>
    </row>
    <row r="85" spans="1:11" s="496" customFormat="1" ht="15.75">
      <c r="A85" s="515">
        <v>36</v>
      </c>
      <c r="B85" s="516" t="s">
        <v>639</v>
      </c>
      <c r="C85" s="516" t="s">
        <v>574</v>
      </c>
      <c r="D85" s="517">
        <v>1</v>
      </c>
      <c r="E85" s="517">
        <v>5</v>
      </c>
      <c r="F85" s="519">
        <v>12</v>
      </c>
      <c r="G85" s="519">
        <v>12</v>
      </c>
      <c r="H85" s="519">
        <v>0</v>
      </c>
      <c r="I85" s="519">
        <f>D85*F85-G85+H85</f>
        <v>0</v>
      </c>
      <c r="J85" s="522">
        <v>1900</v>
      </c>
      <c r="K85" s="521">
        <f t="shared" si="1"/>
        <v>0</v>
      </c>
    </row>
    <row r="86" spans="1:11" ht="15.75">
      <c r="A86" s="318"/>
      <c r="B86" s="948" t="s">
        <v>568</v>
      </c>
      <c r="C86" s="949"/>
      <c r="D86" s="949"/>
      <c r="E86" s="949"/>
      <c r="F86" s="949"/>
      <c r="G86" s="949"/>
      <c r="H86" s="949"/>
      <c r="I86" s="949"/>
      <c r="J86" s="950"/>
      <c r="K86" s="325">
        <f>SUM(K50:K85)</f>
        <v>134210</v>
      </c>
    </row>
    <row r="87" spans="1:11" ht="15.75">
      <c r="A87" s="948" t="s">
        <v>640</v>
      </c>
      <c r="B87" s="949"/>
      <c r="C87" s="949"/>
      <c r="D87" s="949"/>
      <c r="E87" s="949"/>
      <c r="F87" s="949"/>
      <c r="G87" s="949"/>
      <c r="H87" s="949"/>
      <c r="I87" s="949"/>
      <c r="J87" s="950"/>
      <c r="K87" s="325">
        <f>K86+K44</f>
        <v>486050</v>
      </c>
    </row>
    <row r="88" spans="1:11" ht="15.75">
      <c r="A88" s="319"/>
      <c r="B88" s="319"/>
      <c r="C88" s="319"/>
      <c r="D88" s="319"/>
      <c r="E88" s="319"/>
      <c r="F88" s="319"/>
      <c r="G88" s="319"/>
      <c r="H88" s="319"/>
      <c r="I88" s="322"/>
      <c r="J88" s="322"/>
      <c r="K88" s="322"/>
    </row>
    <row r="89" spans="1:11" ht="15.75">
      <c r="A89" s="310"/>
      <c r="B89" s="310"/>
      <c r="C89" s="310"/>
      <c r="D89" s="310"/>
      <c r="E89" s="310"/>
      <c r="F89" s="310"/>
      <c r="G89" s="310"/>
      <c r="H89" s="310"/>
      <c r="I89" s="310"/>
      <c r="J89" s="310"/>
      <c r="K89" s="310"/>
    </row>
    <row r="90" spans="1:11" ht="15.75">
      <c r="A90" s="955"/>
      <c r="B90" s="955"/>
      <c r="C90" s="320"/>
      <c r="D90" s="321"/>
      <c r="E90" s="321"/>
      <c r="F90" s="322"/>
      <c r="G90" s="322"/>
      <c r="H90" s="322"/>
      <c r="I90" s="322"/>
      <c r="J90" s="956"/>
      <c r="K90" s="956"/>
    </row>
  </sheetData>
  <sheetProtection/>
  <mergeCells count="28">
    <mergeCell ref="G48:H48"/>
    <mergeCell ref="I48:K48"/>
    <mergeCell ref="B86:J86"/>
    <mergeCell ref="A87:J87"/>
    <mergeCell ref="A90:B90"/>
    <mergeCell ref="J90:K90"/>
    <mergeCell ref="G9:H9"/>
    <mergeCell ref="I9:K9"/>
    <mergeCell ref="B44:J44"/>
    <mergeCell ref="A46:K46"/>
    <mergeCell ref="A48:A49"/>
    <mergeCell ref="B48:B49"/>
    <mergeCell ref="C48:C49"/>
    <mergeCell ref="D48:D49"/>
    <mergeCell ref="E48:E49"/>
    <mergeCell ref="F48:F49"/>
    <mergeCell ref="A9:A10"/>
    <mergeCell ref="B9:B10"/>
    <mergeCell ref="C9:C10"/>
    <mergeCell ref="D9:D10"/>
    <mergeCell ref="E9:E10"/>
    <mergeCell ref="F9:F10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67">
      <selection activeCell="K42" sqref="K42"/>
    </sheetView>
  </sheetViews>
  <sheetFormatPr defaultColWidth="9.00390625" defaultRowHeight="12.75"/>
  <cols>
    <col min="2" max="2" width="16.625" style="0" bestFit="1" customWidth="1"/>
    <col min="3" max="3" width="11.00390625" style="0" customWidth="1"/>
    <col min="4" max="4" width="9.125" style="334" customWidth="1"/>
    <col min="11" max="11" width="12.75390625" style="0" customWidth="1"/>
  </cols>
  <sheetData>
    <row r="1" spans="1:11" ht="15.75">
      <c r="A1" s="935" t="s">
        <v>553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</row>
    <row r="2" spans="1:11" ht="15.75">
      <c r="A2" s="935" t="s">
        <v>554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</row>
    <row r="3" spans="1:11" ht="15.75">
      <c r="A3" s="308"/>
      <c r="B3" s="308"/>
      <c r="C3" s="308"/>
      <c r="D3" s="327"/>
      <c r="E3" s="308"/>
      <c r="F3" s="308"/>
      <c r="G3" s="308"/>
      <c r="H3" s="308"/>
      <c r="I3" s="308"/>
      <c r="J3" s="308"/>
      <c r="K3" s="308"/>
    </row>
    <row r="4" spans="1:11" ht="18.75">
      <c r="A4" s="957" t="s">
        <v>555</v>
      </c>
      <c r="B4" s="958"/>
      <c r="C4" s="958"/>
      <c r="D4" s="958"/>
      <c r="E4" s="958"/>
      <c r="F4" s="958"/>
      <c r="G4" s="958"/>
      <c r="H4" s="958"/>
      <c r="I4" s="958"/>
      <c r="J4" s="958"/>
      <c r="K4" s="958"/>
    </row>
    <row r="5" spans="1:11" ht="15.75">
      <c r="A5" s="938" t="s">
        <v>571</v>
      </c>
      <c r="B5" s="938"/>
      <c r="C5" s="938"/>
      <c r="D5" s="938"/>
      <c r="E5" s="938"/>
      <c r="F5" s="938"/>
      <c r="G5" s="938"/>
      <c r="H5" s="938"/>
      <c r="I5" s="938"/>
      <c r="J5" s="938"/>
      <c r="K5" s="938"/>
    </row>
    <row r="6" spans="1:11" ht="15.75">
      <c r="A6" s="939" t="s">
        <v>904</v>
      </c>
      <c r="B6" s="939"/>
      <c r="C6" s="939"/>
      <c r="D6" s="939"/>
      <c r="E6" s="939"/>
      <c r="F6" s="939"/>
      <c r="G6" s="939"/>
      <c r="H6" s="939"/>
      <c r="I6" s="939"/>
      <c r="J6" s="939"/>
      <c r="K6" s="939"/>
    </row>
    <row r="7" spans="1:11" ht="18.75">
      <c r="A7" s="940" t="s">
        <v>641</v>
      </c>
      <c r="B7" s="940"/>
      <c r="C7" s="940"/>
      <c r="D7" s="940"/>
      <c r="E7" s="940"/>
      <c r="F7" s="940"/>
      <c r="G7" s="940"/>
      <c r="H7" s="940"/>
      <c r="I7" s="940"/>
      <c r="J7" s="940"/>
      <c r="K7" s="940"/>
    </row>
    <row r="8" spans="1:11" ht="15.75">
      <c r="A8" s="309"/>
      <c r="B8" s="309"/>
      <c r="C8" s="309"/>
      <c r="D8" s="328"/>
      <c r="E8" s="309"/>
      <c r="F8" s="309"/>
      <c r="G8" s="309"/>
      <c r="H8" s="309"/>
      <c r="I8" s="310"/>
      <c r="J8" s="310"/>
      <c r="K8" s="310"/>
    </row>
    <row r="9" spans="1:11" ht="15.75">
      <c r="A9" s="941" t="s">
        <v>556</v>
      </c>
      <c r="B9" s="951" t="s">
        <v>2</v>
      </c>
      <c r="C9" s="941" t="s">
        <v>557</v>
      </c>
      <c r="D9" s="941" t="s">
        <v>558</v>
      </c>
      <c r="E9" s="941" t="s">
        <v>559</v>
      </c>
      <c r="F9" s="941" t="s">
        <v>560</v>
      </c>
      <c r="G9" s="945" t="s">
        <v>561</v>
      </c>
      <c r="H9" s="947"/>
      <c r="I9" s="953" t="s">
        <v>642</v>
      </c>
      <c r="J9" s="954"/>
      <c r="K9" s="954"/>
    </row>
    <row r="10" spans="1:11" ht="63">
      <c r="A10" s="942"/>
      <c r="B10" s="952"/>
      <c r="C10" s="942"/>
      <c r="D10" s="942"/>
      <c r="E10" s="942"/>
      <c r="F10" s="942"/>
      <c r="G10" s="313" t="s">
        <v>306</v>
      </c>
      <c r="H10" s="311" t="s">
        <v>643</v>
      </c>
      <c r="I10" s="312" t="s">
        <v>564</v>
      </c>
      <c r="J10" s="312" t="s">
        <v>565</v>
      </c>
      <c r="K10" s="312" t="s">
        <v>566</v>
      </c>
    </row>
    <row r="11" spans="1:11" ht="31.5">
      <c r="A11" s="494">
        <v>1</v>
      </c>
      <c r="B11" s="495" t="s">
        <v>612</v>
      </c>
      <c r="C11" s="495" t="s">
        <v>567</v>
      </c>
      <c r="D11" s="495">
        <v>1</v>
      </c>
      <c r="E11" s="495">
        <v>2</v>
      </c>
      <c r="F11" s="497">
        <v>4</v>
      </c>
      <c r="G11" s="323">
        <v>4</v>
      </c>
      <c r="H11" s="513">
        <v>0</v>
      </c>
      <c r="I11" s="323">
        <f>D11*F11-G11+H11</f>
        <v>0</v>
      </c>
      <c r="J11" s="324">
        <v>2500</v>
      </c>
      <c r="K11" s="324">
        <f>I11*J11</f>
        <v>0</v>
      </c>
    </row>
    <row r="12" spans="1:11" ht="47.25">
      <c r="A12" s="494">
        <v>2</v>
      </c>
      <c r="B12" s="495" t="s">
        <v>575</v>
      </c>
      <c r="C12" s="495" t="s">
        <v>567</v>
      </c>
      <c r="D12" s="495">
        <v>1</v>
      </c>
      <c r="E12" s="495">
        <v>2</v>
      </c>
      <c r="F12" s="497">
        <v>4</v>
      </c>
      <c r="G12" s="323">
        <v>4</v>
      </c>
      <c r="H12" s="513">
        <v>0</v>
      </c>
      <c r="I12" s="323">
        <f>D12*F12-G12+H12</f>
        <v>0</v>
      </c>
      <c r="J12" s="324">
        <v>800</v>
      </c>
      <c r="K12" s="324">
        <f aca="true" t="shared" si="0" ref="K12:K40">I12*J12</f>
        <v>0</v>
      </c>
    </row>
    <row r="13" spans="1:11" ht="31.5">
      <c r="A13" s="494">
        <v>3</v>
      </c>
      <c r="B13" s="495" t="s">
        <v>644</v>
      </c>
      <c r="C13" s="495" t="s">
        <v>578</v>
      </c>
      <c r="D13" s="495">
        <v>4</v>
      </c>
      <c r="E13" s="495">
        <v>2</v>
      </c>
      <c r="F13" s="497">
        <v>4</v>
      </c>
      <c r="G13" s="323">
        <v>16</v>
      </c>
      <c r="H13" s="323">
        <v>0</v>
      </c>
      <c r="I13" s="323">
        <v>16</v>
      </c>
      <c r="J13" s="324">
        <v>500</v>
      </c>
      <c r="K13" s="324">
        <f t="shared" si="0"/>
        <v>8000</v>
      </c>
    </row>
    <row r="14" spans="1:11" ht="31.5">
      <c r="A14" s="494">
        <v>4</v>
      </c>
      <c r="B14" s="495" t="s">
        <v>580</v>
      </c>
      <c r="C14" s="495" t="s">
        <v>567</v>
      </c>
      <c r="D14" s="495">
        <v>4</v>
      </c>
      <c r="E14" s="495">
        <v>1</v>
      </c>
      <c r="F14" s="497">
        <v>4</v>
      </c>
      <c r="G14" s="323">
        <v>16</v>
      </c>
      <c r="H14" s="323">
        <v>0</v>
      </c>
      <c r="I14" s="323">
        <v>16</v>
      </c>
      <c r="J14" s="324">
        <v>250</v>
      </c>
      <c r="K14" s="324">
        <f t="shared" si="0"/>
        <v>4000</v>
      </c>
    </row>
    <row r="15" spans="1:11" ht="47.25">
      <c r="A15" s="494">
        <v>5</v>
      </c>
      <c r="B15" s="495" t="s">
        <v>581</v>
      </c>
      <c r="C15" s="495" t="s">
        <v>578</v>
      </c>
      <c r="D15" s="495">
        <v>1</v>
      </c>
      <c r="E15" s="495">
        <v>1</v>
      </c>
      <c r="F15" s="497">
        <v>4</v>
      </c>
      <c r="G15" s="323">
        <v>4</v>
      </c>
      <c r="H15" s="323">
        <v>0</v>
      </c>
      <c r="I15" s="323">
        <v>4</v>
      </c>
      <c r="J15" s="324">
        <v>800</v>
      </c>
      <c r="K15" s="324">
        <f t="shared" si="0"/>
        <v>3200</v>
      </c>
    </row>
    <row r="16" spans="1:11" ht="47.25">
      <c r="A16" s="494">
        <v>6</v>
      </c>
      <c r="B16" s="495" t="s">
        <v>645</v>
      </c>
      <c r="C16" s="495" t="s">
        <v>578</v>
      </c>
      <c r="D16" s="495">
        <v>1</v>
      </c>
      <c r="E16" s="495">
        <v>1</v>
      </c>
      <c r="F16" s="497">
        <v>4</v>
      </c>
      <c r="G16" s="323">
        <v>4</v>
      </c>
      <c r="H16" s="323">
        <v>0</v>
      </c>
      <c r="I16" s="323">
        <v>4</v>
      </c>
      <c r="J16" s="324">
        <v>350</v>
      </c>
      <c r="K16" s="324">
        <f t="shared" si="0"/>
        <v>1400</v>
      </c>
    </row>
    <row r="17" spans="1:11" ht="47.25">
      <c r="A17" s="494">
        <v>7</v>
      </c>
      <c r="B17" s="495" t="s">
        <v>583</v>
      </c>
      <c r="C17" s="495" t="s">
        <v>567</v>
      </c>
      <c r="D17" s="495">
        <v>1</v>
      </c>
      <c r="E17" s="495">
        <v>1</v>
      </c>
      <c r="F17" s="497">
        <v>4</v>
      </c>
      <c r="G17" s="323">
        <v>4</v>
      </c>
      <c r="H17" s="323">
        <v>0</v>
      </c>
      <c r="I17" s="323">
        <v>4</v>
      </c>
      <c r="J17" s="324">
        <v>450</v>
      </c>
      <c r="K17" s="324">
        <f t="shared" si="0"/>
        <v>1800</v>
      </c>
    </row>
    <row r="18" spans="1:11" ht="31.5">
      <c r="A18" s="494">
        <v>8</v>
      </c>
      <c r="B18" s="495" t="s">
        <v>585</v>
      </c>
      <c r="C18" s="495" t="s">
        <v>567</v>
      </c>
      <c r="D18" s="495">
        <v>1</v>
      </c>
      <c r="E18" s="495">
        <v>1</v>
      </c>
      <c r="F18" s="497">
        <v>4</v>
      </c>
      <c r="G18" s="323">
        <v>4</v>
      </c>
      <c r="H18" s="323">
        <v>0</v>
      </c>
      <c r="I18" s="323">
        <v>4</v>
      </c>
      <c r="J18" s="324">
        <v>100</v>
      </c>
      <c r="K18" s="324">
        <f t="shared" si="0"/>
        <v>400</v>
      </c>
    </row>
    <row r="19" spans="1:11" ht="31.5">
      <c r="A19" s="494">
        <v>9</v>
      </c>
      <c r="B19" s="495" t="s">
        <v>584</v>
      </c>
      <c r="C19" s="495" t="s">
        <v>567</v>
      </c>
      <c r="D19" s="495">
        <v>1</v>
      </c>
      <c r="E19" s="495">
        <v>2</v>
      </c>
      <c r="F19" s="497">
        <v>4</v>
      </c>
      <c r="G19" s="323">
        <v>4</v>
      </c>
      <c r="H19" s="323">
        <v>2</v>
      </c>
      <c r="I19" s="323">
        <f>D19*F19-G19+H19</f>
        <v>2</v>
      </c>
      <c r="J19" s="324">
        <v>600</v>
      </c>
      <c r="K19" s="324">
        <f t="shared" si="0"/>
        <v>1200</v>
      </c>
    </row>
    <row r="20" spans="1:11" ht="23.25" customHeight="1">
      <c r="A20" s="494">
        <v>10</v>
      </c>
      <c r="B20" s="495" t="s">
        <v>619</v>
      </c>
      <c r="C20" s="495" t="s">
        <v>567</v>
      </c>
      <c r="D20" s="495">
        <v>5</v>
      </c>
      <c r="E20" s="495">
        <v>1</v>
      </c>
      <c r="F20" s="497">
        <v>4</v>
      </c>
      <c r="G20" s="323">
        <v>20</v>
      </c>
      <c r="H20" s="323">
        <v>0</v>
      </c>
      <c r="I20" s="323">
        <v>20</v>
      </c>
      <c r="J20" s="324">
        <v>10</v>
      </c>
      <c r="K20" s="324">
        <f t="shared" si="0"/>
        <v>200</v>
      </c>
    </row>
    <row r="21" spans="1:11" ht="63">
      <c r="A21" s="494">
        <v>11</v>
      </c>
      <c r="B21" s="495" t="s">
        <v>621</v>
      </c>
      <c r="C21" s="495" t="s">
        <v>567</v>
      </c>
      <c r="D21" s="495">
        <v>1</v>
      </c>
      <c r="E21" s="495">
        <v>2</v>
      </c>
      <c r="F21" s="497">
        <v>4</v>
      </c>
      <c r="G21" s="323">
        <v>4</v>
      </c>
      <c r="H21" s="323">
        <v>0</v>
      </c>
      <c r="I21" s="323">
        <v>4</v>
      </c>
      <c r="J21" s="324">
        <v>100</v>
      </c>
      <c r="K21" s="324">
        <f t="shared" si="0"/>
        <v>400</v>
      </c>
    </row>
    <row r="22" spans="1:11" ht="15.75">
      <c r="A22" s="494">
        <v>12</v>
      </c>
      <c r="B22" s="495" t="s">
        <v>588</v>
      </c>
      <c r="C22" s="495" t="s">
        <v>567</v>
      </c>
      <c r="D22" s="495">
        <v>1</v>
      </c>
      <c r="E22" s="495">
        <v>2</v>
      </c>
      <c r="F22" s="497">
        <v>4</v>
      </c>
      <c r="G22" s="323">
        <v>4</v>
      </c>
      <c r="H22" s="323">
        <v>0</v>
      </c>
      <c r="I22" s="323">
        <v>4</v>
      </c>
      <c r="J22" s="324">
        <v>100</v>
      </c>
      <c r="K22" s="324">
        <f t="shared" si="0"/>
        <v>400</v>
      </c>
    </row>
    <row r="23" spans="1:11" ht="31.5">
      <c r="A23" s="494">
        <v>13</v>
      </c>
      <c r="B23" s="495" t="s">
        <v>589</v>
      </c>
      <c r="C23" s="495" t="s">
        <v>590</v>
      </c>
      <c r="D23" s="495">
        <v>2</v>
      </c>
      <c r="E23" s="495">
        <v>1</v>
      </c>
      <c r="F23" s="497">
        <v>4</v>
      </c>
      <c r="G23" s="323">
        <v>8</v>
      </c>
      <c r="H23" s="323">
        <v>0</v>
      </c>
      <c r="I23" s="323">
        <v>8</v>
      </c>
      <c r="J23" s="324">
        <v>120</v>
      </c>
      <c r="K23" s="324">
        <f t="shared" si="0"/>
        <v>960</v>
      </c>
    </row>
    <row r="24" spans="1:11" ht="31.5">
      <c r="A24" s="494">
        <v>14</v>
      </c>
      <c r="B24" s="495" t="s">
        <v>646</v>
      </c>
      <c r="C24" s="495" t="s">
        <v>567</v>
      </c>
      <c r="D24" s="495">
        <v>5</v>
      </c>
      <c r="E24" s="495">
        <v>1</v>
      </c>
      <c r="F24" s="497">
        <v>4</v>
      </c>
      <c r="G24" s="323">
        <v>20</v>
      </c>
      <c r="H24" s="323">
        <v>0</v>
      </c>
      <c r="I24" s="323">
        <v>20</v>
      </c>
      <c r="J24" s="324">
        <v>60</v>
      </c>
      <c r="K24" s="324">
        <f t="shared" si="0"/>
        <v>1200</v>
      </c>
    </row>
    <row r="25" spans="1:11" ht="15.75">
      <c r="A25" s="494">
        <v>15</v>
      </c>
      <c r="B25" s="495" t="s">
        <v>625</v>
      </c>
      <c r="C25" s="495" t="s">
        <v>567</v>
      </c>
      <c r="D25" s="495">
        <v>2</v>
      </c>
      <c r="E25" s="495">
        <v>1</v>
      </c>
      <c r="F25" s="497">
        <v>4</v>
      </c>
      <c r="G25" s="323">
        <v>8</v>
      </c>
      <c r="H25" s="323">
        <v>0</v>
      </c>
      <c r="I25" s="323">
        <v>8</v>
      </c>
      <c r="J25" s="324">
        <v>200</v>
      </c>
      <c r="K25" s="324">
        <f t="shared" si="0"/>
        <v>1600</v>
      </c>
    </row>
    <row r="26" spans="1:11" ht="15.75">
      <c r="A26" s="494">
        <v>16</v>
      </c>
      <c r="B26" s="495" t="s">
        <v>626</v>
      </c>
      <c r="C26" s="495" t="s">
        <v>567</v>
      </c>
      <c r="D26" s="495">
        <v>3</v>
      </c>
      <c r="E26" s="495">
        <v>1</v>
      </c>
      <c r="F26" s="497">
        <v>4</v>
      </c>
      <c r="G26" s="323">
        <v>12</v>
      </c>
      <c r="H26" s="323">
        <v>0</v>
      </c>
      <c r="I26" s="323">
        <v>12</v>
      </c>
      <c r="J26" s="324">
        <v>120</v>
      </c>
      <c r="K26" s="324">
        <f t="shared" si="0"/>
        <v>1440</v>
      </c>
    </row>
    <row r="27" spans="1:11" ht="47.25">
      <c r="A27" s="494">
        <v>17</v>
      </c>
      <c r="B27" s="495" t="s">
        <v>647</v>
      </c>
      <c r="C27" s="495" t="s">
        <v>567</v>
      </c>
      <c r="D27" s="495">
        <v>2</v>
      </c>
      <c r="E27" s="495">
        <v>1</v>
      </c>
      <c r="F27" s="497">
        <v>4</v>
      </c>
      <c r="G27" s="323">
        <v>8</v>
      </c>
      <c r="H27" s="323">
        <v>0</v>
      </c>
      <c r="I27" s="323">
        <v>8</v>
      </c>
      <c r="J27" s="324">
        <v>200</v>
      </c>
      <c r="K27" s="324">
        <f t="shared" si="0"/>
        <v>1600</v>
      </c>
    </row>
    <row r="28" spans="1:11" ht="47.25">
      <c r="A28" s="494">
        <v>18</v>
      </c>
      <c r="B28" s="495" t="s">
        <v>628</v>
      </c>
      <c r="C28" s="495" t="s">
        <v>590</v>
      </c>
      <c r="D28" s="495">
        <v>6</v>
      </c>
      <c r="E28" s="495">
        <v>1</v>
      </c>
      <c r="F28" s="497">
        <v>4</v>
      </c>
      <c r="G28" s="323">
        <v>24</v>
      </c>
      <c r="H28" s="323">
        <v>0</v>
      </c>
      <c r="I28" s="323">
        <v>24</v>
      </c>
      <c r="J28" s="324">
        <v>40</v>
      </c>
      <c r="K28" s="324">
        <f t="shared" si="0"/>
        <v>960</v>
      </c>
    </row>
    <row r="29" spans="1:11" ht="15.75">
      <c r="A29" s="494">
        <v>19</v>
      </c>
      <c r="B29" s="495" t="s">
        <v>630</v>
      </c>
      <c r="C29" s="495" t="s">
        <v>590</v>
      </c>
      <c r="D29" s="495">
        <v>3</v>
      </c>
      <c r="E29" s="495">
        <v>1</v>
      </c>
      <c r="F29" s="497">
        <v>4</v>
      </c>
      <c r="G29" s="323">
        <v>12</v>
      </c>
      <c r="H29" s="323">
        <v>0</v>
      </c>
      <c r="I29" s="323">
        <v>12</v>
      </c>
      <c r="J29" s="324">
        <v>500</v>
      </c>
      <c r="K29" s="324">
        <f t="shared" si="0"/>
        <v>6000</v>
      </c>
    </row>
    <row r="30" spans="1:11" ht="31.5">
      <c r="A30" s="494">
        <v>20</v>
      </c>
      <c r="B30" s="495" t="s">
        <v>597</v>
      </c>
      <c r="C30" s="495" t="s">
        <v>590</v>
      </c>
      <c r="D30" s="495">
        <v>2</v>
      </c>
      <c r="E30" s="495">
        <v>1</v>
      </c>
      <c r="F30" s="497">
        <v>4</v>
      </c>
      <c r="G30" s="323">
        <v>8</v>
      </c>
      <c r="H30" s="323">
        <v>0</v>
      </c>
      <c r="I30" s="323">
        <v>8</v>
      </c>
      <c r="J30" s="324">
        <v>120</v>
      </c>
      <c r="K30" s="324">
        <f t="shared" si="0"/>
        <v>960</v>
      </c>
    </row>
    <row r="31" spans="1:11" ht="47.25">
      <c r="A31" s="494">
        <v>21</v>
      </c>
      <c r="B31" s="495" t="s">
        <v>631</v>
      </c>
      <c r="C31" s="495" t="s">
        <v>590</v>
      </c>
      <c r="D31" s="495">
        <v>2</v>
      </c>
      <c r="E31" s="495">
        <v>1</v>
      </c>
      <c r="F31" s="523">
        <v>4</v>
      </c>
      <c r="G31" s="524">
        <v>8</v>
      </c>
      <c r="H31" s="524">
        <v>0</v>
      </c>
      <c r="I31" s="323">
        <v>8</v>
      </c>
      <c r="J31" s="324">
        <v>1300</v>
      </c>
      <c r="K31" s="324">
        <f t="shared" si="0"/>
        <v>10400</v>
      </c>
    </row>
    <row r="32" spans="1:11" ht="47.25">
      <c r="A32" s="494">
        <v>22</v>
      </c>
      <c r="B32" s="495" t="s">
        <v>648</v>
      </c>
      <c r="C32" s="495" t="s">
        <v>590</v>
      </c>
      <c r="D32" s="495">
        <v>1</v>
      </c>
      <c r="E32" s="495">
        <v>2</v>
      </c>
      <c r="F32" s="497">
        <v>4</v>
      </c>
      <c r="G32" s="323">
        <v>4</v>
      </c>
      <c r="H32" s="323">
        <v>0</v>
      </c>
      <c r="I32" s="323">
        <f>D32*F32-G32+H32</f>
        <v>0</v>
      </c>
      <c r="J32" s="324">
        <v>1100</v>
      </c>
      <c r="K32" s="324">
        <f t="shared" si="0"/>
        <v>0</v>
      </c>
    </row>
    <row r="33" spans="1:11" s="496" customFormat="1" ht="31.5">
      <c r="A33" s="494">
        <v>23</v>
      </c>
      <c r="B33" s="495" t="s">
        <v>633</v>
      </c>
      <c r="C33" s="495" t="s">
        <v>567</v>
      </c>
      <c r="D33" s="495">
        <v>1</v>
      </c>
      <c r="E33" s="495">
        <v>2</v>
      </c>
      <c r="F33" s="497">
        <v>4</v>
      </c>
      <c r="G33" s="323">
        <v>4</v>
      </c>
      <c r="H33" s="323">
        <v>0</v>
      </c>
      <c r="I33" s="323">
        <f>D33*F33-G33+H33</f>
        <v>0</v>
      </c>
      <c r="J33" s="324">
        <v>2500</v>
      </c>
      <c r="K33" s="324">
        <f t="shared" si="0"/>
        <v>0</v>
      </c>
    </row>
    <row r="34" spans="1:11" ht="31.5">
      <c r="A34" s="494">
        <v>24</v>
      </c>
      <c r="B34" s="495" t="s">
        <v>601</v>
      </c>
      <c r="C34" s="495" t="s">
        <v>567</v>
      </c>
      <c r="D34" s="495">
        <v>1</v>
      </c>
      <c r="E34" s="495">
        <v>2</v>
      </c>
      <c r="F34" s="497">
        <v>4</v>
      </c>
      <c r="G34" s="323">
        <v>4</v>
      </c>
      <c r="H34" s="323">
        <v>4</v>
      </c>
      <c r="I34" s="323">
        <f>D34*F34-G34+H34</f>
        <v>4</v>
      </c>
      <c r="J34" s="324">
        <v>150</v>
      </c>
      <c r="K34" s="324">
        <f t="shared" si="0"/>
        <v>600</v>
      </c>
    </row>
    <row r="35" spans="1:11" ht="47.25">
      <c r="A35" s="494">
        <v>25</v>
      </c>
      <c r="B35" s="495" t="s">
        <v>649</v>
      </c>
      <c r="C35" s="495" t="s">
        <v>567</v>
      </c>
      <c r="D35" s="495">
        <v>3</v>
      </c>
      <c r="E35" s="495">
        <v>1</v>
      </c>
      <c r="F35" s="497">
        <v>4</v>
      </c>
      <c r="G35" s="323">
        <v>12</v>
      </c>
      <c r="H35" s="323">
        <v>0</v>
      </c>
      <c r="I35" s="323">
        <v>12</v>
      </c>
      <c r="J35" s="324">
        <v>200</v>
      </c>
      <c r="K35" s="324">
        <f t="shared" si="0"/>
        <v>2400</v>
      </c>
    </row>
    <row r="36" spans="1:11" ht="15.75">
      <c r="A36" s="494">
        <v>26</v>
      </c>
      <c r="B36" s="495" t="s">
        <v>635</v>
      </c>
      <c r="C36" s="495" t="s">
        <v>567</v>
      </c>
      <c r="D36" s="495">
        <v>10</v>
      </c>
      <c r="E36" s="495">
        <v>1</v>
      </c>
      <c r="F36" s="497">
        <v>4</v>
      </c>
      <c r="G36" s="323">
        <v>40</v>
      </c>
      <c r="H36" s="323">
        <v>0</v>
      </c>
      <c r="I36" s="323">
        <v>40</v>
      </c>
      <c r="J36" s="324">
        <v>100</v>
      </c>
      <c r="K36" s="324">
        <f t="shared" si="0"/>
        <v>4000</v>
      </c>
    </row>
    <row r="37" spans="1:11" ht="47.25">
      <c r="A37" s="494">
        <v>27</v>
      </c>
      <c r="B37" s="495" t="s">
        <v>650</v>
      </c>
      <c r="C37" s="495" t="s">
        <v>567</v>
      </c>
      <c r="D37" s="495">
        <v>2</v>
      </c>
      <c r="E37" s="495">
        <v>1</v>
      </c>
      <c r="F37" s="497">
        <v>4</v>
      </c>
      <c r="G37" s="323">
        <v>8</v>
      </c>
      <c r="H37" s="323">
        <v>0</v>
      </c>
      <c r="I37" s="323">
        <v>8</v>
      </c>
      <c r="J37" s="324">
        <v>100</v>
      </c>
      <c r="K37" s="324">
        <f t="shared" si="0"/>
        <v>800</v>
      </c>
    </row>
    <row r="38" spans="1:11" ht="47.25">
      <c r="A38" s="494">
        <v>28</v>
      </c>
      <c r="B38" s="495" t="s">
        <v>651</v>
      </c>
      <c r="C38" s="495" t="s">
        <v>567</v>
      </c>
      <c r="D38" s="495">
        <v>2</v>
      </c>
      <c r="E38" s="495">
        <v>1</v>
      </c>
      <c r="F38" s="497">
        <v>4</v>
      </c>
      <c r="G38" s="323">
        <v>8</v>
      </c>
      <c r="H38" s="323">
        <v>8</v>
      </c>
      <c r="I38" s="323">
        <f>D38*F38-G38+H38</f>
        <v>8</v>
      </c>
      <c r="J38" s="324">
        <v>250</v>
      </c>
      <c r="K38" s="324">
        <f t="shared" si="0"/>
        <v>2000</v>
      </c>
    </row>
    <row r="39" spans="1:11" ht="31.5">
      <c r="A39" s="494">
        <v>29</v>
      </c>
      <c r="B39" s="495" t="s">
        <v>637</v>
      </c>
      <c r="C39" s="495" t="s">
        <v>567</v>
      </c>
      <c r="D39" s="495">
        <v>1</v>
      </c>
      <c r="E39" s="495">
        <v>2</v>
      </c>
      <c r="F39" s="497">
        <v>4</v>
      </c>
      <c r="G39" s="323">
        <v>4</v>
      </c>
      <c r="H39" s="323">
        <v>0</v>
      </c>
      <c r="I39" s="323">
        <f>D39*F39-G39+H39</f>
        <v>0</v>
      </c>
      <c r="J39" s="324">
        <v>100</v>
      </c>
      <c r="K39" s="324">
        <f t="shared" si="0"/>
        <v>0</v>
      </c>
    </row>
    <row r="40" spans="1:11" s="496" customFormat="1" ht="15.75">
      <c r="A40" s="494">
        <v>30</v>
      </c>
      <c r="B40" s="495" t="s">
        <v>639</v>
      </c>
      <c r="C40" s="495" t="s">
        <v>567</v>
      </c>
      <c r="D40" s="495">
        <v>1</v>
      </c>
      <c r="E40" s="495">
        <v>5</v>
      </c>
      <c r="F40" s="323">
        <v>4</v>
      </c>
      <c r="G40" s="323">
        <v>4</v>
      </c>
      <c r="H40" s="323">
        <v>0</v>
      </c>
      <c r="I40" s="323">
        <f>D40*F40-G40+H40</f>
        <v>0</v>
      </c>
      <c r="J40" s="324">
        <v>1900</v>
      </c>
      <c r="K40" s="324">
        <f t="shared" si="0"/>
        <v>0</v>
      </c>
    </row>
    <row r="41" spans="1:11" ht="15.75">
      <c r="A41" s="314"/>
      <c r="B41" s="959" t="s">
        <v>568</v>
      </c>
      <c r="C41" s="960"/>
      <c r="D41" s="960"/>
      <c r="E41" s="960"/>
      <c r="F41" s="960"/>
      <c r="G41" s="960"/>
      <c r="H41" s="960"/>
      <c r="I41" s="960"/>
      <c r="J41" s="961"/>
      <c r="K41" s="315">
        <f>SUM(K11:K40)</f>
        <v>55920</v>
      </c>
    </row>
    <row r="42" spans="1:11" ht="15.75">
      <c r="A42" s="316"/>
      <c r="B42" s="316"/>
      <c r="C42" s="316"/>
      <c r="D42" s="329"/>
      <c r="E42" s="316"/>
      <c r="F42" s="316"/>
      <c r="G42" s="316"/>
      <c r="H42" s="316"/>
      <c r="I42" s="316"/>
      <c r="J42" s="316"/>
      <c r="K42" s="316"/>
    </row>
    <row r="43" spans="1:11" ht="18.75">
      <c r="A43" s="940" t="s">
        <v>652</v>
      </c>
      <c r="B43" s="940"/>
      <c r="C43" s="940"/>
      <c r="D43" s="940"/>
      <c r="E43" s="940"/>
      <c r="F43" s="940"/>
      <c r="G43" s="940"/>
      <c r="H43" s="940"/>
      <c r="I43" s="940"/>
      <c r="J43" s="940"/>
      <c r="K43" s="940"/>
    </row>
    <row r="44" spans="1:11" ht="15.75">
      <c r="A44" s="317"/>
      <c r="B44" s="317"/>
      <c r="C44" s="317"/>
      <c r="D44" s="330"/>
      <c r="E44" s="317"/>
      <c r="F44" s="317"/>
      <c r="G44" s="317"/>
      <c r="H44" s="317"/>
      <c r="I44" s="317"/>
      <c r="J44" s="317"/>
      <c r="K44" s="317"/>
    </row>
    <row r="45" spans="1:11" ht="15.75">
      <c r="A45" s="941" t="s">
        <v>556</v>
      </c>
      <c r="B45" s="951" t="s">
        <v>2</v>
      </c>
      <c r="C45" s="941" t="s">
        <v>557</v>
      </c>
      <c r="D45" s="941" t="s">
        <v>558</v>
      </c>
      <c r="E45" s="941" t="s">
        <v>559</v>
      </c>
      <c r="F45" s="941" t="s">
        <v>560</v>
      </c>
      <c r="G45" s="945" t="s">
        <v>561</v>
      </c>
      <c r="H45" s="947"/>
      <c r="I45" s="953" t="s">
        <v>642</v>
      </c>
      <c r="J45" s="954"/>
      <c r="K45" s="954"/>
    </row>
    <row r="46" spans="1:11" ht="63">
      <c r="A46" s="942"/>
      <c r="B46" s="952"/>
      <c r="C46" s="942"/>
      <c r="D46" s="942"/>
      <c r="E46" s="942"/>
      <c r="F46" s="942"/>
      <c r="G46" s="313" t="s">
        <v>306</v>
      </c>
      <c r="H46" s="311" t="s">
        <v>643</v>
      </c>
      <c r="I46" s="312" t="s">
        <v>564</v>
      </c>
      <c r="J46" s="312" t="s">
        <v>565</v>
      </c>
      <c r="K46" s="312" t="s">
        <v>566</v>
      </c>
    </row>
    <row r="47" spans="1:11" ht="31.5">
      <c r="A47" s="494">
        <v>1</v>
      </c>
      <c r="B47" s="495" t="s">
        <v>612</v>
      </c>
      <c r="C47" s="495" t="s">
        <v>567</v>
      </c>
      <c r="D47" s="495">
        <v>1</v>
      </c>
      <c r="E47" s="495">
        <v>2</v>
      </c>
      <c r="F47" s="497">
        <v>4</v>
      </c>
      <c r="G47" s="323">
        <v>4</v>
      </c>
      <c r="H47" s="513">
        <v>0</v>
      </c>
      <c r="I47" s="323">
        <f>D47*F47-G47+H47</f>
        <v>0</v>
      </c>
      <c r="J47" s="324">
        <v>2500</v>
      </c>
      <c r="K47" s="324">
        <v>0</v>
      </c>
    </row>
    <row r="48" spans="1:11" ht="34.5" customHeight="1">
      <c r="A48" s="494">
        <f>A47+1</f>
        <v>2</v>
      </c>
      <c r="B48" s="495" t="s">
        <v>575</v>
      </c>
      <c r="C48" s="495" t="s">
        <v>567</v>
      </c>
      <c r="D48" s="495">
        <v>1</v>
      </c>
      <c r="E48" s="495">
        <v>2</v>
      </c>
      <c r="F48" s="497">
        <v>4</v>
      </c>
      <c r="G48" s="323">
        <v>4</v>
      </c>
      <c r="H48" s="513">
        <v>0</v>
      </c>
      <c r="I48" s="323">
        <f aca="true" t="shared" si="1" ref="I48:I77">D48*F48-G48+H48</f>
        <v>0</v>
      </c>
      <c r="J48" s="324">
        <v>800</v>
      </c>
      <c r="K48" s="324">
        <v>0</v>
      </c>
    </row>
    <row r="49" spans="1:11" ht="31.5">
      <c r="A49" s="494">
        <f aca="true" t="shared" si="2" ref="A49:A77">A48+1</f>
        <v>3</v>
      </c>
      <c r="B49" s="495" t="s">
        <v>653</v>
      </c>
      <c r="C49" s="495" t="s">
        <v>567</v>
      </c>
      <c r="D49" s="495">
        <v>3</v>
      </c>
      <c r="E49" s="495">
        <v>2</v>
      </c>
      <c r="F49" s="497">
        <v>4</v>
      </c>
      <c r="G49" s="323">
        <v>12</v>
      </c>
      <c r="H49" s="323">
        <v>2</v>
      </c>
      <c r="I49" s="323">
        <f t="shared" si="1"/>
        <v>2</v>
      </c>
      <c r="J49" s="324">
        <v>400</v>
      </c>
      <c r="K49" s="324">
        <f aca="true" t="shared" si="3" ref="K49:K76">I49*J49</f>
        <v>800</v>
      </c>
    </row>
    <row r="50" spans="1:11" ht="47.25">
      <c r="A50" s="494">
        <f t="shared" si="2"/>
        <v>4</v>
      </c>
      <c r="B50" s="495" t="s">
        <v>615</v>
      </c>
      <c r="C50" s="495" t="s">
        <v>567</v>
      </c>
      <c r="D50" s="495">
        <v>2</v>
      </c>
      <c r="E50" s="495">
        <v>1</v>
      </c>
      <c r="F50" s="497">
        <v>4</v>
      </c>
      <c r="G50" s="323">
        <v>8</v>
      </c>
      <c r="H50" s="323">
        <v>4</v>
      </c>
      <c r="I50" s="323">
        <f t="shared" si="1"/>
        <v>4</v>
      </c>
      <c r="J50" s="324">
        <v>350</v>
      </c>
      <c r="K50" s="324">
        <f t="shared" si="3"/>
        <v>1400</v>
      </c>
    </row>
    <row r="51" spans="1:11" ht="47.25">
      <c r="A51" s="494">
        <f t="shared" si="2"/>
        <v>5</v>
      </c>
      <c r="B51" s="495" t="s">
        <v>583</v>
      </c>
      <c r="C51" s="495" t="s">
        <v>567</v>
      </c>
      <c r="D51" s="495">
        <v>1</v>
      </c>
      <c r="E51" s="495">
        <v>1</v>
      </c>
      <c r="F51" s="497">
        <v>4</v>
      </c>
      <c r="G51" s="323">
        <v>4</v>
      </c>
      <c r="H51" s="323">
        <v>2</v>
      </c>
      <c r="I51" s="323">
        <f t="shared" si="1"/>
        <v>2</v>
      </c>
      <c r="J51" s="324">
        <v>500</v>
      </c>
      <c r="K51" s="324">
        <f t="shared" si="3"/>
        <v>1000</v>
      </c>
    </row>
    <row r="52" spans="1:11" ht="63">
      <c r="A52" s="494">
        <f t="shared" si="2"/>
        <v>6</v>
      </c>
      <c r="B52" s="495" t="s">
        <v>616</v>
      </c>
      <c r="C52" s="495" t="s">
        <v>567</v>
      </c>
      <c r="D52" s="495">
        <v>1</v>
      </c>
      <c r="E52" s="495">
        <v>1</v>
      </c>
      <c r="F52" s="497">
        <v>4</v>
      </c>
      <c r="G52" s="323">
        <v>4</v>
      </c>
      <c r="H52" s="323">
        <v>0</v>
      </c>
      <c r="I52" s="323">
        <v>4</v>
      </c>
      <c r="J52" s="324">
        <v>650</v>
      </c>
      <c r="K52" s="324">
        <f t="shared" si="3"/>
        <v>2600</v>
      </c>
    </row>
    <row r="53" spans="1:11" ht="63">
      <c r="A53" s="494">
        <f t="shared" si="2"/>
        <v>7</v>
      </c>
      <c r="B53" s="495" t="s">
        <v>617</v>
      </c>
      <c r="C53" s="495" t="s">
        <v>567</v>
      </c>
      <c r="D53" s="495">
        <v>1</v>
      </c>
      <c r="E53" s="495">
        <v>2</v>
      </c>
      <c r="F53" s="497">
        <v>4</v>
      </c>
      <c r="G53" s="323">
        <v>4</v>
      </c>
      <c r="H53" s="323">
        <v>0</v>
      </c>
      <c r="I53" s="323">
        <v>4</v>
      </c>
      <c r="J53" s="324">
        <v>550</v>
      </c>
      <c r="K53" s="324">
        <f t="shared" si="3"/>
        <v>2200</v>
      </c>
    </row>
    <row r="54" spans="1:11" ht="63">
      <c r="A54" s="494">
        <f t="shared" si="2"/>
        <v>8</v>
      </c>
      <c r="B54" s="495" t="s">
        <v>618</v>
      </c>
      <c r="C54" s="495" t="s">
        <v>567</v>
      </c>
      <c r="D54" s="495">
        <v>2</v>
      </c>
      <c r="E54" s="495">
        <v>1</v>
      </c>
      <c r="F54" s="497">
        <v>4</v>
      </c>
      <c r="G54" s="323">
        <v>8</v>
      </c>
      <c r="H54" s="323">
        <v>8</v>
      </c>
      <c r="I54" s="323">
        <f t="shared" si="1"/>
        <v>8</v>
      </c>
      <c r="J54" s="324">
        <v>150</v>
      </c>
      <c r="K54" s="324">
        <f t="shared" si="3"/>
        <v>1200</v>
      </c>
    </row>
    <row r="55" spans="1:11" ht="31.5">
      <c r="A55" s="494">
        <f t="shared" si="2"/>
        <v>9</v>
      </c>
      <c r="B55" s="495" t="s">
        <v>585</v>
      </c>
      <c r="C55" s="495" t="s">
        <v>567</v>
      </c>
      <c r="D55" s="495">
        <v>1</v>
      </c>
      <c r="E55" s="495">
        <v>1</v>
      </c>
      <c r="F55" s="497">
        <v>4</v>
      </c>
      <c r="G55" s="323">
        <v>4</v>
      </c>
      <c r="H55" s="323">
        <v>0</v>
      </c>
      <c r="I55" s="323">
        <v>4</v>
      </c>
      <c r="J55" s="324">
        <v>100</v>
      </c>
      <c r="K55" s="324">
        <f t="shared" si="3"/>
        <v>400</v>
      </c>
    </row>
    <row r="56" spans="1:11" ht="31.5">
      <c r="A56" s="494">
        <f t="shared" si="2"/>
        <v>10</v>
      </c>
      <c r="B56" s="495" t="s">
        <v>584</v>
      </c>
      <c r="C56" s="495" t="s">
        <v>567</v>
      </c>
      <c r="D56" s="495">
        <v>1</v>
      </c>
      <c r="E56" s="495">
        <v>2</v>
      </c>
      <c r="F56" s="497">
        <v>4</v>
      </c>
      <c r="G56" s="323">
        <v>4</v>
      </c>
      <c r="H56" s="323">
        <v>2</v>
      </c>
      <c r="I56" s="323">
        <f t="shared" si="1"/>
        <v>2</v>
      </c>
      <c r="J56" s="324">
        <v>650</v>
      </c>
      <c r="K56" s="324">
        <f t="shared" si="3"/>
        <v>1300</v>
      </c>
    </row>
    <row r="57" spans="1:11" ht="21.75" customHeight="1">
      <c r="A57" s="494">
        <f t="shared" si="2"/>
        <v>11</v>
      </c>
      <c r="B57" s="495" t="s">
        <v>619</v>
      </c>
      <c r="C57" s="495" t="s">
        <v>567</v>
      </c>
      <c r="D57" s="495">
        <v>5</v>
      </c>
      <c r="E57" s="495">
        <v>1</v>
      </c>
      <c r="F57" s="497">
        <v>4</v>
      </c>
      <c r="G57" s="323">
        <v>20</v>
      </c>
      <c r="H57" s="323">
        <v>0</v>
      </c>
      <c r="I57" s="323">
        <v>20</v>
      </c>
      <c r="J57" s="324">
        <v>10</v>
      </c>
      <c r="K57" s="324">
        <f t="shared" si="3"/>
        <v>200</v>
      </c>
    </row>
    <row r="58" spans="1:11" ht="31.5">
      <c r="A58" s="494">
        <f t="shared" si="2"/>
        <v>12</v>
      </c>
      <c r="B58" s="495" t="s">
        <v>620</v>
      </c>
      <c r="C58" s="495" t="s">
        <v>567</v>
      </c>
      <c r="D58" s="495">
        <v>1</v>
      </c>
      <c r="E58" s="495">
        <v>2</v>
      </c>
      <c r="F58" s="497">
        <v>4</v>
      </c>
      <c r="G58" s="323">
        <v>4</v>
      </c>
      <c r="H58" s="323">
        <v>0</v>
      </c>
      <c r="I58" s="323">
        <v>2</v>
      </c>
      <c r="J58" s="324">
        <v>500</v>
      </c>
      <c r="K58" s="324">
        <f t="shared" si="3"/>
        <v>1000</v>
      </c>
    </row>
    <row r="59" spans="1:11" ht="15.75">
      <c r="A59" s="494">
        <f t="shared" si="2"/>
        <v>13</v>
      </c>
      <c r="B59" s="495" t="s">
        <v>588</v>
      </c>
      <c r="C59" s="495" t="s">
        <v>567</v>
      </c>
      <c r="D59" s="495">
        <v>1</v>
      </c>
      <c r="E59" s="495">
        <v>2</v>
      </c>
      <c r="F59" s="497">
        <v>4</v>
      </c>
      <c r="G59" s="323">
        <v>4</v>
      </c>
      <c r="H59" s="323">
        <v>0</v>
      </c>
      <c r="I59" s="323">
        <v>4</v>
      </c>
      <c r="J59" s="324">
        <v>100</v>
      </c>
      <c r="K59" s="324">
        <f t="shared" si="3"/>
        <v>400</v>
      </c>
    </row>
    <row r="60" spans="1:11" ht="31.5">
      <c r="A60" s="494">
        <f t="shared" si="2"/>
        <v>14</v>
      </c>
      <c r="B60" s="495" t="s">
        <v>589</v>
      </c>
      <c r="C60" s="495" t="s">
        <v>590</v>
      </c>
      <c r="D60" s="495">
        <v>2</v>
      </c>
      <c r="E60" s="495">
        <v>1</v>
      </c>
      <c r="F60" s="497">
        <v>4</v>
      </c>
      <c r="G60" s="323">
        <v>8</v>
      </c>
      <c r="H60" s="323">
        <v>0</v>
      </c>
      <c r="I60" s="323">
        <v>8</v>
      </c>
      <c r="J60" s="324">
        <v>120</v>
      </c>
      <c r="K60" s="324">
        <f t="shared" si="3"/>
        <v>960</v>
      </c>
    </row>
    <row r="61" spans="1:11" ht="31.5">
      <c r="A61" s="494">
        <f t="shared" si="2"/>
        <v>15</v>
      </c>
      <c r="B61" s="495" t="s">
        <v>624</v>
      </c>
      <c r="C61" s="495" t="s">
        <v>567</v>
      </c>
      <c r="D61" s="495">
        <v>5</v>
      </c>
      <c r="E61" s="495">
        <v>1</v>
      </c>
      <c r="F61" s="497">
        <v>4</v>
      </c>
      <c r="G61" s="323">
        <v>20</v>
      </c>
      <c r="H61" s="323">
        <v>20</v>
      </c>
      <c r="I61" s="323">
        <v>20</v>
      </c>
      <c r="J61" s="324">
        <v>80</v>
      </c>
      <c r="K61" s="324">
        <f t="shared" si="3"/>
        <v>1600</v>
      </c>
    </row>
    <row r="62" spans="1:11" ht="15.75">
      <c r="A62" s="494">
        <f t="shared" si="2"/>
        <v>16</v>
      </c>
      <c r="B62" s="495" t="s">
        <v>625</v>
      </c>
      <c r="C62" s="495" t="s">
        <v>567</v>
      </c>
      <c r="D62" s="495">
        <v>2</v>
      </c>
      <c r="E62" s="495">
        <v>1</v>
      </c>
      <c r="F62" s="497">
        <v>4</v>
      </c>
      <c r="G62" s="323">
        <v>8</v>
      </c>
      <c r="H62" s="323">
        <v>20</v>
      </c>
      <c r="I62" s="323">
        <v>8</v>
      </c>
      <c r="J62" s="324">
        <v>250</v>
      </c>
      <c r="K62" s="324">
        <f t="shared" si="3"/>
        <v>2000</v>
      </c>
    </row>
    <row r="63" spans="1:11" ht="15.75">
      <c r="A63" s="494">
        <f t="shared" si="2"/>
        <v>17</v>
      </c>
      <c r="B63" s="495" t="s">
        <v>626</v>
      </c>
      <c r="C63" s="495" t="s">
        <v>567</v>
      </c>
      <c r="D63" s="495">
        <v>3</v>
      </c>
      <c r="E63" s="495">
        <v>1</v>
      </c>
      <c r="F63" s="497">
        <v>4</v>
      </c>
      <c r="G63" s="323">
        <v>12</v>
      </c>
      <c r="H63" s="323">
        <v>12</v>
      </c>
      <c r="I63" s="323">
        <f t="shared" si="1"/>
        <v>12</v>
      </c>
      <c r="J63" s="324">
        <v>120</v>
      </c>
      <c r="K63" s="324">
        <f t="shared" si="3"/>
        <v>1440</v>
      </c>
    </row>
    <row r="64" spans="1:11" ht="63">
      <c r="A64" s="494">
        <f t="shared" si="2"/>
        <v>18</v>
      </c>
      <c r="B64" s="495" t="s">
        <v>627</v>
      </c>
      <c r="C64" s="495" t="s">
        <v>567</v>
      </c>
      <c r="D64" s="495">
        <v>2</v>
      </c>
      <c r="E64" s="495">
        <v>1</v>
      </c>
      <c r="F64" s="497">
        <v>4</v>
      </c>
      <c r="G64" s="323">
        <v>8</v>
      </c>
      <c r="H64" s="323">
        <v>8</v>
      </c>
      <c r="I64" s="323">
        <f t="shared" si="1"/>
        <v>8</v>
      </c>
      <c r="J64" s="324">
        <v>230</v>
      </c>
      <c r="K64" s="324">
        <f t="shared" si="3"/>
        <v>1840</v>
      </c>
    </row>
    <row r="65" spans="1:11" ht="47.25">
      <c r="A65" s="494">
        <f t="shared" si="2"/>
        <v>19</v>
      </c>
      <c r="B65" s="495" t="s">
        <v>628</v>
      </c>
      <c r="C65" s="495" t="s">
        <v>590</v>
      </c>
      <c r="D65" s="495">
        <v>6</v>
      </c>
      <c r="E65" s="495">
        <v>1</v>
      </c>
      <c r="F65" s="497">
        <v>4</v>
      </c>
      <c r="G65" s="323">
        <v>24</v>
      </c>
      <c r="H65" s="323">
        <v>24</v>
      </c>
      <c r="I65" s="323">
        <f t="shared" si="1"/>
        <v>24</v>
      </c>
      <c r="J65" s="324">
        <v>40</v>
      </c>
      <c r="K65" s="324">
        <f t="shared" si="3"/>
        <v>960</v>
      </c>
    </row>
    <row r="66" spans="1:11" ht="15.75">
      <c r="A66" s="494">
        <f t="shared" si="2"/>
        <v>20</v>
      </c>
      <c r="B66" s="495" t="s">
        <v>630</v>
      </c>
      <c r="C66" s="495" t="s">
        <v>590</v>
      </c>
      <c r="D66" s="495">
        <v>3</v>
      </c>
      <c r="E66" s="495">
        <v>1</v>
      </c>
      <c r="F66" s="497">
        <v>4</v>
      </c>
      <c r="G66" s="323">
        <v>12</v>
      </c>
      <c r="H66" s="323">
        <v>0</v>
      </c>
      <c r="I66" s="323">
        <v>12</v>
      </c>
      <c r="J66" s="324">
        <v>550</v>
      </c>
      <c r="K66" s="324">
        <f t="shared" si="3"/>
        <v>6600</v>
      </c>
    </row>
    <row r="67" spans="1:11" ht="31.5">
      <c r="A67" s="494">
        <f t="shared" si="2"/>
        <v>21</v>
      </c>
      <c r="B67" s="495" t="s">
        <v>597</v>
      </c>
      <c r="C67" s="495" t="s">
        <v>590</v>
      </c>
      <c r="D67" s="495">
        <v>2</v>
      </c>
      <c r="E67" s="495">
        <v>1</v>
      </c>
      <c r="F67" s="497">
        <v>4</v>
      </c>
      <c r="G67" s="323">
        <v>8</v>
      </c>
      <c r="H67" s="323">
        <v>0</v>
      </c>
      <c r="I67" s="323">
        <v>8</v>
      </c>
      <c r="J67" s="324">
        <v>120</v>
      </c>
      <c r="K67" s="324">
        <f t="shared" si="3"/>
        <v>960</v>
      </c>
    </row>
    <row r="68" spans="1:11" ht="47.25">
      <c r="A68" s="494">
        <f t="shared" si="2"/>
        <v>22</v>
      </c>
      <c r="B68" s="495" t="s">
        <v>631</v>
      </c>
      <c r="C68" s="495" t="s">
        <v>590</v>
      </c>
      <c r="D68" s="495">
        <v>2</v>
      </c>
      <c r="E68" s="495">
        <v>1</v>
      </c>
      <c r="F68" s="523">
        <v>4</v>
      </c>
      <c r="G68" s="524">
        <v>8</v>
      </c>
      <c r="H68" s="524">
        <v>4</v>
      </c>
      <c r="I68" s="323">
        <f t="shared" si="1"/>
        <v>4</v>
      </c>
      <c r="J68" s="525">
        <v>1200</v>
      </c>
      <c r="K68" s="324">
        <f t="shared" si="3"/>
        <v>4800</v>
      </c>
    </row>
    <row r="69" spans="1:11" ht="47.25">
      <c r="A69" s="494">
        <f t="shared" si="2"/>
        <v>23</v>
      </c>
      <c r="B69" s="495" t="s">
        <v>648</v>
      </c>
      <c r="C69" s="495" t="s">
        <v>590</v>
      </c>
      <c r="D69" s="495">
        <v>1</v>
      </c>
      <c r="E69" s="495">
        <v>2</v>
      </c>
      <c r="F69" s="497">
        <v>4</v>
      </c>
      <c r="G69" s="323">
        <v>4</v>
      </c>
      <c r="H69" s="323">
        <v>0</v>
      </c>
      <c r="I69" s="323">
        <f t="shared" si="1"/>
        <v>0</v>
      </c>
      <c r="J69" s="324">
        <v>1100</v>
      </c>
      <c r="K69" s="324">
        <v>0</v>
      </c>
    </row>
    <row r="70" spans="1:11" ht="31.5">
      <c r="A70" s="494">
        <f t="shared" si="2"/>
        <v>24</v>
      </c>
      <c r="B70" s="495" t="s">
        <v>633</v>
      </c>
      <c r="C70" s="495" t="s">
        <v>567</v>
      </c>
      <c r="D70" s="495">
        <v>1</v>
      </c>
      <c r="E70" s="495">
        <v>2</v>
      </c>
      <c r="F70" s="497">
        <v>4</v>
      </c>
      <c r="G70" s="323">
        <v>4</v>
      </c>
      <c r="H70" s="323">
        <v>0</v>
      </c>
      <c r="I70" s="323">
        <f t="shared" si="1"/>
        <v>0</v>
      </c>
      <c r="J70" s="324">
        <v>1500</v>
      </c>
      <c r="K70" s="324">
        <v>0</v>
      </c>
    </row>
    <row r="71" spans="1:11" ht="31.5">
      <c r="A71" s="494">
        <f t="shared" si="2"/>
        <v>25</v>
      </c>
      <c r="B71" s="495" t="s">
        <v>601</v>
      </c>
      <c r="C71" s="495" t="s">
        <v>567</v>
      </c>
      <c r="D71" s="495">
        <v>1</v>
      </c>
      <c r="E71" s="495">
        <v>2</v>
      </c>
      <c r="F71" s="497">
        <v>4</v>
      </c>
      <c r="G71" s="323">
        <v>4</v>
      </c>
      <c r="H71" s="323">
        <v>4</v>
      </c>
      <c r="I71" s="323">
        <f t="shared" si="1"/>
        <v>4</v>
      </c>
      <c r="J71" s="324">
        <v>350</v>
      </c>
      <c r="K71" s="324">
        <f t="shared" si="3"/>
        <v>1400</v>
      </c>
    </row>
    <row r="72" spans="1:11" ht="47.25">
      <c r="A72" s="494">
        <f t="shared" si="2"/>
        <v>26</v>
      </c>
      <c r="B72" s="495" t="s">
        <v>649</v>
      </c>
      <c r="C72" s="495" t="s">
        <v>567</v>
      </c>
      <c r="D72" s="495">
        <v>3</v>
      </c>
      <c r="E72" s="495">
        <v>1</v>
      </c>
      <c r="F72" s="497">
        <v>4</v>
      </c>
      <c r="G72" s="323">
        <v>12</v>
      </c>
      <c r="H72" s="323">
        <v>12</v>
      </c>
      <c r="I72" s="323">
        <v>12</v>
      </c>
      <c r="J72" s="324">
        <v>250</v>
      </c>
      <c r="K72" s="324">
        <f t="shared" si="3"/>
        <v>3000</v>
      </c>
    </row>
    <row r="73" spans="1:11" ht="15.75">
      <c r="A73" s="494">
        <f t="shared" si="2"/>
        <v>27</v>
      </c>
      <c r="B73" s="495" t="s">
        <v>635</v>
      </c>
      <c r="C73" s="495" t="s">
        <v>567</v>
      </c>
      <c r="D73" s="495">
        <v>10</v>
      </c>
      <c r="E73" s="495">
        <v>1</v>
      </c>
      <c r="F73" s="497">
        <v>4</v>
      </c>
      <c r="G73" s="323">
        <v>40</v>
      </c>
      <c r="H73" s="323">
        <v>20</v>
      </c>
      <c r="I73" s="323">
        <f t="shared" si="1"/>
        <v>20</v>
      </c>
      <c r="J73" s="324">
        <v>100</v>
      </c>
      <c r="K73" s="324">
        <f t="shared" si="3"/>
        <v>2000</v>
      </c>
    </row>
    <row r="74" spans="1:11" ht="47.25">
      <c r="A74" s="494">
        <f t="shared" si="2"/>
        <v>28</v>
      </c>
      <c r="B74" s="495" t="s">
        <v>650</v>
      </c>
      <c r="C74" s="495" t="s">
        <v>567</v>
      </c>
      <c r="D74" s="495">
        <v>2</v>
      </c>
      <c r="E74" s="495">
        <v>1</v>
      </c>
      <c r="F74" s="497">
        <v>4</v>
      </c>
      <c r="G74" s="323">
        <v>8</v>
      </c>
      <c r="H74" s="323">
        <v>0</v>
      </c>
      <c r="I74" s="323">
        <v>8</v>
      </c>
      <c r="J74" s="324">
        <v>100</v>
      </c>
      <c r="K74" s="324">
        <f t="shared" si="3"/>
        <v>800</v>
      </c>
    </row>
    <row r="75" spans="1:11" ht="47.25">
      <c r="A75" s="494">
        <f t="shared" si="2"/>
        <v>29</v>
      </c>
      <c r="B75" s="495" t="s">
        <v>651</v>
      </c>
      <c r="C75" s="495" t="s">
        <v>567</v>
      </c>
      <c r="D75" s="495">
        <v>2</v>
      </c>
      <c r="E75" s="495">
        <v>1</v>
      </c>
      <c r="F75" s="497">
        <v>4</v>
      </c>
      <c r="G75" s="323">
        <v>8</v>
      </c>
      <c r="H75" s="323">
        <v>4</v>
      </c>
      <c r="I75" s="323">
        <f t="shared" si="1"/>
        <v>4</v>
      </c>
      <c r="J75" s="324">
        <v>250</v>
      </c>
      <c r="K75" s="324">
        <f t="shared" si="3"/>
        <v>1000</v>
      </c>
    </row>
    <row r="76" spans="1:11" ht="31.5">
      <c r="A76" s="494">
        <f t="shared" si="2"/>
        <v>30</v>
      </c>
      <c r="B76" s="495" t="s">
        <v>637</v>
      </c>
      <c r="C76" s="495" t="s">
        <v>567</v>
      </c>
      <c r="D76" s="495">
        <v>1</v>
      </c>
      <c r="E76" s="495">
        <v>2</v>
      </c>
      <c r="F76" s="497">
        <v>4</v>
      </c>
      <c r="G76" s="323">
        <v>0</v>
      </c>
      <c r="H76" s="323">
        <v>0</v>
      </c>
      <c r="I76" s="323">
        <v>0</v>
      </c>
      <c r="J76" s="324">
        <v>50</v>
      </c>
      <c r="K76" s="324">
        <f t="shared" si="3"/>
        <v>0</v>
      </c>
    </row>
    <row r="77" spans="1:11" ht="15.75">
      <c r="A77" s="494">
        <f t="shared" si="2"/>
        <v>31</v>
      </c>
      <c r="B77" s="495" t="s">
        <v>639</v>
      </c>
      <c r="C77" s="495" t="s">
        <v>567</v>
      </c>
      <c r="D77" s="495">
        <v>1</v>
      </c>
      <c r="E77" s="495">
        <v>5</v>
      </c>
      <c r="F77" s="515">
        <v>4</v>
      </c>
      <c r="G77" s="518">
        <v>4</v>
      </c>
      <c r="H77" s="515">
        <v>0</v>
      </c>
      <c r="I77" s="323">
        <f t="shared" si="1"/>
        <v>0</v>
      </c>
      <c r="J77" s="515">
        <v>1900</v>
      </c>
      <c r="K77" s="324">
        <v>0</v>
      </c>
    </row>
    <row r="78" spans="1:11" ht="15.75">
      <c r="A78" s="318"/>
      <c r="B78" s="948" t="s">
        <v>568</v>
      </c>
      <c r="C78" s="949"/>
      <c r="D78" s="949"/>
      <c r="E78" s="949"/>
      <c r="F78" s="949"/>
      <c r="G78" s="949"/>
      <c r="H78" s="949"/>
      <c r="I78" s="949"/>
      <c r="J78" s="950"/>
      <c r="K78" s="325">
        <f>SUM(K47:K77)</f>
        <v>41860</v>
      </c>
    </row>
    <row r="79" spans="1:11" ht="15.75">
      <c r="A79" s="948" t="s">
        <v>640</v>
      </c>
      <c r="B79" s="949"/>
      <c r="C79" s="949"/>
      <c r="D79" s="949"/>
      <c r="E79" s="949"/>
      <c r="F79" s="949"/>
      <c r="G79" s="949"/>
      <c r="H79" s="949"/>
      <c r="I79" s="949"/>
      <c r="J79" s="950"/>
      <c r="K79" s="325">
        <f>K78+K41</f>
        <v>97780</v>
      </c>
    </row>
    <row r="80" spans="1:11" ht="15.75">
      <c r="A80" s="319"/>
      <c r="B80" s="319"/>
      <c r="C80" s="319"/>
      <c r="D80" s="331"/>
      <c r="E80" s="319"/>
      <c r="F80" s="319"/>
      <c r="G80" s="319"/>
      <c r="H80" s="319"/>
      <c r="I80" s="310"/>
      <c r="J80" s="310"/>
      <c r="K80" s="310"/>
    </row>
    <row r="81" spans="1:11" ht="15.75">
      <c r="A81" s="310"/>
      <c r="B81" s="310"/>
      <c r="C81" s="310"/>
      <c r="D81" s="332"/>
      <c r="E81" s="310"/>
      <c r="F81" s="310"/>
      <c r="G81" s="310"/>
      <c r="H81" s="310"/>
      <c r="I81" s="310"/>
      <c r="J81" s="310"/>
      <c r="K81" s="310"/>
    </row>
    <row r="82" spans="1:11" ht="15.75">
      <c r="A82" s="955"/>
      <c r="B82" s="955"/>
      <c r="C82" s="320"/>
      <c r="D82" s="333"/>
      <c r="E82" s="321"/>
      <c r="F82" s="310"/>
      <c r="G82" s="310"/>
      <c r="H82" s="310"/>
      <c r="I82" s="310"/>
      <c r="J82" s="310"/>
      <c r="K82" s="326"/>
    </row>
    <row r="83" spans="1:11" ht="15.75">
      <c r="A83" s="320"/>
      <c r="B83" s="320"/>
      <c r="C83" s="320"/>
      <c r="D83" s="333"/>
      <c r="E83" s="321"/>
      <c r="F83" s="310"/>
      <c r="G83" s="310"/>
      <c r="H83" s="310"/>
      <c r="I83" s="310"/>
      <c r="J83" s="310"/>
      <c r="K83" s="326"/>
    </row>
  </sheetData>
  <sheetProtection/>
  <mergeCells count="27">
    <mergeCell ref="G45:H45"/>
    <mergeCell ref="I45:K45"/>
    <mergeCell ref="B78:J78"/>
    <mergeCell ref="A79:J79"/>
    <mergeCell ref="A82:B82"/>
    <mergeCell ref="G9:H9"/>
    <mergeCell ref="I9:K9"/>
    <mergeCell ref="B41:J41"/>
    <mergeCell ref="A43:K43"/>
    <mergeCell ref="A45:A46"/>
    <mergeCell ref="B45:B46"/>
    <mergeCell ref="C45:C46"/>
    <mergeCell ref="D45:D46"/>
    <mergeCell ref="E45:E46"/>
    <mergeCell ref="F45:F46"/>
    <mergeCell ref="A9:A10"/>
    <mergeCell ref="B9:B10"/>
    <mergeCell ref="C9:C10"/>
    <mergeCell ref="D9:D10"/>
    <mergeCell ref="E9:E10"/>
    <mergeCell ref="F9:F10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M20"/>
  <sheetViews>
    <sheetView zoomScalePageLayoutView="0" workbookViewId="0" topLeftCell="A1">
      <selection activeCell="A17" sqref="A17"/>
    </sheetView>
  </sheetViews>
  <sheetFormatPr defaultColWidth="8.875" defaultRowHeight="12.75"/>
  <cols>
    <col min="1" max="1" width="5.25390625" style="388" customWidth="1"/>
    <col min="2" max="2" width="42.00390625" style="435" customWidth="1"/>
    <col min="3" max="3" width="6.00390625" style="388" customWidth="1"/>
    <col min="4" max="4" width="7.75390625" style="388" customWidth="1"/>
    <col min="5" max="5" width="10.00390625" style="388" customWidth="1"/>
    <col min="6" max="6" width="12.25390625" style="388" customWidth="1"/>
    <col min="7" max="16384" width="8.875" style="435" customWidth="1"/>
  </cols>
  <sheetData>
    <row r="1" spans="1:6" s="337" customFormat="1" ht="18.75">
      <c r="A1" s="862" t="s">
        <v>742</v>
      </c>
      <c r="B1" s="862"/>
      <c r="C1" s="862"/>
      <c r="D1" s="862"/>
      <c r="E1" s="862"/>
      <c r="F1" s="862"/>
    </row>
    <row r="2" spans="1:6" s="337" customFormat="1" ht="15.75">
      <c r="A2" s="862" t="s">
        <v>656</v>
      </c>
      <c r="B2" s="862"/>
      <c r="C2" s="862"/>
      <c r="D2" s="862"/>
      <c r="E2" s="862"/>
      <c r="F2" s="862"/>
    </row>
    <row r="3" spans="1:6" ht="15.75">
      <c r="A3" s="964" t="s">
        <v>1154</v>
      </c>
      <c r="B3" s="964"/>
      <c r="C3" s="964"/>
      <c r="D3" s="964"/>
      <c r="E3" s="964"/>
      <c r="F3" s="964"/>
    </row>
    <row r="4" ht="15.75">
      <c r="B4" s="388"/>
    </row>
    <row r="5" spans="1:6" s="500" customFormat="1" ht="31.5">
      <c r="A5" s="391" t="s">
        <v>556</v>
      </c>
      <c r="B5" s="391" t="s">
        <v>2</v>
      </c>
      <c r="C5" s="391" t="s">
        <v>908</v>
      </c>
      <c r="D5" s="391" t="s">
        <v>880</v>
      </c>
      <c r="E5" s="391" t="s">
        <v>833</v>
      </c>
      <c r="F5" s="391" t="s">
        <v>295</v>
      </c>
    </row>
    <row r="6" spans="1:6" ht="15.75">
      <c r="A6" s="389">
        <v>1</v>
      </c>
      <c r="B6" s="712" t="s">
        <v>1155</v>
      </c>
      <c r="C6" s="389" t="s">
        <v>749</v>
      </c>
      <c r="D6" s="389">
        <v>4</v>
      </c>
      <c r="E6" s="553">
        <v>450</v>
      </c>
      <c r="F6" s="575">
        <f>E6*D6</f>
        <v>1800</v>
      </c>
    </row>
    <row r="7" spans="1:13" ht="18.75" customHeight="1">
      <c r="A7" s="389">
        <f>1+A6</f>
        <v>2</v>
      </c>
      <c r="B7" s="712" t="s">
        <v>1156</v>
      </c>
      <c r="C7" s="389" t="s">
        <v>749</v>
      </c>
      <c r="D7" s="389">
        <v>3</v>
      </c>
      <c r="E7" s="553">
        <v>1568.82</v>
      </c>
      <c r="F7" s="575">
        <f>E7*D7</f>
        <v>4706.46</v>
      </c>
      <c r="H7" s="965"/>
      <c r="I7" s="965"/>
      <c r="J7" s="965"/>
      <c r="K7" s="965"/>
      <c r="L7" s="965"/>
      <c r="M7" s="965"/>
    </row>
    <row r="8" spans="1:6" ht="15.75">
      <c r="A8" s="389">
        <f>1+A7</f>
        <v>3</v>
      </c>
      <c r="B8" s="712" t="s">
        <v>1157</v>
      </c>
      <c r="C8" s="389" t="s">
        <v>749</v>
      </c>
      <c r="D8" s="389">
        <v>2</v>
      </c>
      <c r="E8" s="553">
        <v>500</v>
      </c>
      <c r="F8" s="575">
        <f>E8*D8</f>
        <v>1000</v>
      </c>
    </row>
    <row r="9" spans="1:6" ht="31.5">
      <c r="A9" s="389">
        <v>4</v>
      </c>
      <c r="B9" s="562" t="s">
        <v>1158</v>
      </c>
      <c r="C9" s="389" t="s">
        <v>749</v>
      </c>
      <c r="D9" s="389">
        <v>2</v>
      </c>
      <c r="E9" s="553">
        <v>3164</v>
      </c>
      <c r="F9" s="575">
        <f>E9*D9</f>
        <v>6328</v>
      </c>
    </row>
    <row r="10" spans="1:6" ht="15.75">
      <c r="A10" s="389"/>
      <c r="B10" s="931" t="s">
        <v>568</v>
      </c>
      <c r="C10" s="932"/>
      <c r="D10" s="932"/>
      <c r="E10" s="933"/>
      <c r="F10" s="713">
        <f>SUM(F6:F9)</f>
        <v>13834.46</v>
      </c>
    </row>
    <row r="14" spans="5:6" s="449" customFormat="1" ht="24" customHeight="1">
      <c r="E14" s="962"/>
      <c r="F14" s="963"/>
    </row>
    <row r="15" spans="3:6" s="449" customFormat="1" ht="15.75">
      <c r="C15" s="459"/>
      <c r="F15" s="435"/>
    </row>
    <row r="16" spans="3:6" s="449" customFormat="1" ht="15.75">
      <c r="C16" s="459"/>
      <c r="F16" s="410"/>
    </row>
    <row r="17" spans="3:6" s="449" customFormat="1" ht="15.75">
      <c r="C17" s="459"/>
      <c r="E17" s="962"/>
      <c r="F17" s="963"/>
    </row>
    <row r="18" s="449" customFormat="1" ht="15.75">
      <c r="C18" s="459"/>
    </row>
    <row r="19" s="449" customFormat="1" ht="15.75">
      <c r="C19" s="459"/>
    </row>
    <row r="20" s="449" customFormat="1" ht="15.75">
      <c r="C20" s="459"/>
    </row>
  </sheetData>
  <sheetProtection/>
  <mergeCells count="7">
    <mergeCell ref="E17:F17"/>
    <mergeCell ref="A1:F1"/>
    <mergeCell ref="A2:F2"/>
    <mergeCell ref="A3:F3"/>
    <mergeCell ref="H7:M7"/>
    <mergeCell ref="B10:E10"/>
    <mergeCell ref="E14:F14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6">
      <selection activeCell="M23" sqref="M23"/>
    </sheetView>
  </sheetViews>
  <sheetFormatPr defaultColWidth="9.00390625" defaultRowHeight="12.75"/>
  <cols>
    <col min="3" max="3" width="15.00390625" style="0" customWidth="1"/>
    <col min="4" max="4" width="20.25390625" style="0" customWidth="1"/>
  </cols>
  <sheetData>
    <row r="1" spans="1:13" ht="15.75">
      <c r="A1" s="926" t="s">
        <v>553</v>
      </c>
      <c r="B1" s="926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</row>
    <row r="2" spans="1:13" ht="15.75">
      <c r="A2" s="926" t="s">
        <v>656</v>
      </c>
      <c r="B2" s="926"/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</row>
    <row r="3" spans="1:13" ht="15.75">
      <c r="A3" s="966" t="s">
        <v>825</v>
      </c>
      <c r="B3" s="966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</row>
    <row r="4" spans="1:13" ht="12.75">
      <c r="A4" s="967" t="s">
        <v>556</v>
      </c>
      <c r="B4" s="967" t="s">
        <v>826</v>
      </c>
      <c r="C4" s="967" t="s">
        <v>827</v>
      </c>
      <c r="D4" s="967" t="s">
        <v>2</v>
      </c>
      <c r="E4" s="967" t="s">
        <v>828</v>
      </c>
      <c r="F4" s="967" t="s">
        <v>829</v>
      </c>
      <c r="G4" s="967" t="s">
        <v>830</v>
      </c>
      <c r="H4" s="967" t="s">
        <v>831</v>
      </c>
      <c r="I4" s="967"/>
      <c r="J4" s="967" t="s">
        <v>832</v>
      </c>
      <c r="K4" s="967" t="s">
        <v>833</v>
      </c>
      <c r="L4" s="476"/>
      <c r="M4" s="968" t="s">
        <v>834</v>
      </c>
    </row>
    <row r="5" spans="1:13" ht="51">
      <c r="A5" s="967"/>
      <c r="B5" s="967"/>
      <c r="C5" s="967"/>
      <c r="D5" s="967"/>
      <c r="E5" s="967"/>
      <c r="F5" s="967"/>
      <c r="G5" s="967"/>
      <c r="H5" s="475" t="s">
        <v>306</v>
      </c>
      <c r="I5" s="475" t="s">
        <v>835</v>
      </c>
      <c r="J5" s="967"/>
      <c r="K5" s="967"/>
      <c r="L5" s="475" t="s">
        <v>836</v>
      </c>
      <c r="M5" s="968"/>
    </row>
    <row r="6" spans="1:13" ht="12.75">
      <c r="A6" s="969">
        <v>1</v>
      </c>
      <c r="B6" s="969" t="s">
        <v>837</v>
      </c>
      <c r="C6" s="971" t="s">
        <v>838</v>
      </c>
      <c r="D6" s="477" t="s">
        <v>839</v>
      </c>
      <c r="E6" s="478">
        <v>1</v>
      </c>
      <c r="F6" s="478">
        <v>1</v>
      </c>
      <c r="G6" s="478">
        <v>1</v>
      </c>
      <c r="H6" s="478">
        <v>1</v>
      </c>
      <c r="I6" s="478">
        <v>0</v>
      </c>
      <c r="J6" s="478">
        <f>E6*G6-H6+I6</f>
        <v>0</v>
      </c>
      <c r="K6" s="479">
        <v>612.81</v>
      </c>
      <c r="L6" s="973"/>
      <c r="M6" s="480">
        <f>J6*K6</f>
        <v>0</v>
      </c>
    </row>
    <row r="7" spans="1:13" ht="25.5">
      <c r="A7" s="970"/>
      <c r="B7" s="970"/>
      <c r="C7" s="972"/>
      <c r="D7" s="481" t="s">
        <v>840</v>
      </c>
      <c r="E7" s="482">
        <v>6</v>
      </c>
      <c r="F7" s="482">
        <v>1</v>
      </c>
      <c r="G7" s="482">
        <v>1</v>
      </c>
      <c r="H7" s="482">
        <v>6</v>
      </c>
      <c r="I7" s="482">
        <v>0</v>
      </c>
      <c r="J7" s="478">
        <f aca="true" t="shared" si="0" ref="J7:J22">E7*G7-H7+I7</f>
        <v>0</v>
      </c>
      <c r="K7" s="483">
        <v>82.22</v>
      </c>
      <c r="L7" s="974"/>
      <c r="M7" s="480">
        <f aca="true" t="shared" si="1" ref="M7:M22">J7*K7</f>
        <v>0</v>
      </c>
    </row>
    <row r="8" spans="1:13" ht="12.75">
      <c r="A8" s="970"/>
      <c r="B8" s="970"/>
      <c r="C8" s="972"/>
      <c r="D8" s="481" t="s">
        <v>841</v>
      </c>
      <c r="E8" s="482">
        <v>2</v>
      </c>
      <c r="F8" s="482">
        <v>1</v>
      </c>
      <c r="G8" s="482">
        <v>1</v>
      </c>
      <c r="H8" s="482">
        <v>2</v>
      </c>
      <c r="I8" s="482">
        <v>0</v>
      </c>
      <c r="J8" s="478">
        <f t="shared" si="0"/>
        <v>0</v>
      </c>
      <c r="K8" s="483">
        <v>20.9</v>
      </c>
      <c r="L8" s="974"/>
      <c r="M8" s="480">
        <f t="shared" si="1"/>
        <v>0</v>
      </c>
    </row>
    <row r="9" spans="1:13" ht="12.75">
      <c r="A9" s="970"/>
      <c r="B9" s="970"/>
      <c r="C9" s="972"/>
      <c r="D9" s="481" t="s">
        <v>842</v>
      </c>
      <c r="E9" s="482">
        <v>1</v>
      </c>
      <c r="F9" s="482">
        <v>1</v>
      </c>
      <c r="G9" s="482">
        <v>1</v>
      </c>
      <c r="H9" s="482">
        <v>1</v>
      </c>
      <c r="I9" s="482">
        <v>0</v>
      </c>
      <c r="J9" s="478">
        <f t="shared" si="0"/>
        <v>0</v>
      </c>
      <c r="K9" s="483"/>
      <c r="L9" s="484"/>
      <c r="M9" s="480">
        <f t="shared" si="1"/>
        <v>0</v>
      </c>
    </row>
    <row r="10" spans="1:13" ht="25.5">
      <c r="A10" s="970">
        <v>2</v>
      </c>
      <c r="B10" s="970" t="s">
        <v>843</v>
      </c>
      <c r="C10" s="972" t="s">
        <v>844</v>
      </c>
      <c r="D10" s="485" t="s">
        <v>845</v>
      </c>
      <c r="E10" s="482">
        <v>1</v>
      </c>
      <c r="F10" s="482">
        <v>1</v>
      </c>
      <c r="G10" s="482">
        <v>1</v>
      </c>
      <c r="H10" s="482">
        <v>1</v>
      </c>
      <c r="I10" s="482">
        <v>0</v>
      </c>
      <c r="J10" s="478">
        <f t="shared" si="0"/>
        <v>0</v>
      </c>
      <c r="K10" s="483">
        <v>910.69</v>
      </c>
      <c r="L10" s="974">
        <v>0</v>
      </c>
      <c r="M10" s="480">
        <f t="shared" si="1"/>
        <v>0</v>
      </c>
    </row>
    <row r="11" spans="1:13" ht="12.75">
      <c r="A11" s="970"/>
      <c r="B11" s="970"/>
      <c r="C11" s="972"/>
      <c r="D11" s="485" t="s">
        <v>846</v>
      </c>
      <c r="E11" s="482">
        <v>1</v>
      </c>
      <c r="F11" s="482">
        <v>2</v>
      </c>
      <c r="G11" s="482"/>
      <c r="H11" s="482"/>
      <c r="I11" s="482"/>
      <c r="J11" s="478">
        <f t="shared" si="0"/>
        <v>0</v>
      </c>
      <c r="K11" s="483"/>
      <c r="L11" s="974"/>
      <c r="M11" s="480">
        <f t="shared" si="1"/>
        <v>0</v>
      </c>
    </row>
    <row r="12" spans="1:13" ht="38.25">
      <c r="A12" s="970"/>
      <c r="B12" s="970"/>
      <c r="C12" s="972"/>
      <c r="D12" s="485" t="s">
        <v>847</v>
      </c>
      <c r="E12" s="482">
        <v>1</v>
      </c>
      <c r="F12" s="482">
        <v>3</v>
      </c>
      <c r="G12" s="482">
        <v>1</v>
      </c>
      <c r="H12" s="482">
        <v>1</v>
      </c>
      <c r="I12" s="482">
        <v>0</v>
      </c>
      <c r="J12" s="478">
        <f t="shared" si="0"/>
        <v>0</v>
      </c>
      <c r="K12" s="483">
        <v>415.23</v>
      </c>
      <c r="L12" s="974"/>
      <c r="M12" s="480">
        <f t="shared" si="1"/>
        <v>0</v>
      </c>
    </row>
    <row r="13" spans="1:13" ht="12.75">
      <c r="A13" s="970"/>
      <c r="B13" s="970"/>
      <c r="C13" s="972"/>
      <c r="D13" s="485" t="s">
        <v>842</v>
      </c>
      <c r="E13" s="482">
        <v>1</v>
      </c>
      <c r="F13" s="482">
        <v>3</v>
      </c>
      <c r="G13" s="482">
        <v>1</v>
      </c>
      <c r="H13" s="482">
        <v>1</v>
      </c>
      <c r="I13" s="482">
        <v>0</v>
      </c>
      <c r="J13" s="478">
        <f t="shared" si="0"/>
        <v>0</v>
      </c>
      <c r="K13" s="483">
        <v>463.4</v>
      </c>
      <c r="L13" s="974"/>
      <c r="M13" s="480">
        <f t="shared" si="1"/>
        <v>0</v>
      </c>
    </row>
    <row r="14" spans="1:13" ht="12.75">
      <c r="A14" s="970"/>
      <c r="B14" s="970"/>
      <c r="C14" s="972"/>
      <c r="D14" s="485" t="s">
        <v>848</v>
      </c>
      <c r="E14" s="482">
        <v>1</v>
      </c>
      <c r="F14" s="482">
        <v>3</v>
      </c>
      <c r="G14" s="482">
        <v>1</v>
      </c>
      <c r="H14" s="482">
        <v>1</v>
      </c>
      <c r="I14" s="482">
        <v>0</v>
      </c>
      <c r="J14" s="478">
        <f t="shared" si="0"/>
        <v>0</v>
      </c>
      <c r="K14" s="483">
        <v>366.68</v>
      </c>
      <c r="L14" s="974"/>
      <c r="M14" s="480">
        <f t="shared" si="1"/>
        <v>0</v>
      </c>
    </row>
    <row r="15" spans="1:13" ht="25.5">
      <c r="A15" s="970"/>
      <c r="B15" s="970"/>
      <c r="C15" s="972"/>
      <c r="D15" s="481" t="s">
        <v>849</v>
      </c>
      <c r="E15" s="482">
        <v>1</v>
      </c>
      <c r="F15" s="482">
        <v>1</v>
      </c>
      <c r="G15" s="482">
        <v>1</v>
      </c>
      <c r="H15" s="482">
        <v>1</v>
      </c>
      <c r="I15" s="482">
        <v>0</v>
      </c>
      <c r="J15" s="478">
        <f t="shared" si="0"/>
        <v>0</v>
      </c>
      <c r="K15" s="483">
        <v>143.35</v>
      </c>
      <c r="L15" s="974"/>
      <c r="M15" s="480">
        <f t="shared" si="1"/>
        <v>0</v>
      </c>
    </row>
    <row r="16" spans="1:13" ht="25.5">
      <c r="A16" s="970"/>
      <c r="B16" s="970"/>
      <c r="C16" s="972"/>
      <c r="D16" s="481" t="s">
        <v>850</v>
      </c>
      <c r="E16" s="482">
        <v>6</v>
      </c>
      <c r="F16" s="482">
        <v>1</v>
      </c>
      <c r="G16" s="482">
        <v>1</v>
      </c>
      <c r="H16" s="482">
        <v>6</v>
      </c>
      <c r="I16" s="482">
        <v>0</v>
      </c>
      <c r="J16" s="478">
        <f t="shared" si="0"/>
        <v>0</v>
      </c>
      <c r="K16" s="483">
        <v>82.22</v>
      </c>
      <c r="L16" s="974"/>
      <c r="M16" s="480">
        <f t="shared" si="1"/>
        <v>0</v>
      </c>
    </row>
    <row r="17" spans="1:13" ht="25.5">
      <c r="A17" s="970">
        <v>3</v>
      </c>
      <c r="B17" s="970" t="s">
        <v>851</v>
      </c>
      <c r="C17" s="972" t="s">
        <v>852</v>
      </c>
      <c r="D17" s="485" t="s">
        <v>845</v>
      </c>
      <c r="E17" s="482">
        <v>1</v>
      </c>
      <c r="F17" s="482">
        <v>1</v>
      </c>
      <c r="G17" s="482">
        <v>1</v>
      </c>
      <c r="H17" s="482">
        <v>1</v>
      </c>
      <c r="I17" s="482">
        <v>1</v>
      </c>
      <c r="J17" s="486">
        <v>1</v>
      </c>
      <c r="K17" s="487">
        <v>700.05</v>
      </c>
      <c r="L17" s="975">
        <v>0</v>
      </c>
      <c r="M17" s="488">
        <f t="shared" si="1"/>
        <v>700.05</v>
      </c>
    </row>
    <row r="18" spans="1:13" ht="25.5">
      <c r="A18" s="970"/>
      <c r="B18" s="970"/>
      <c r="C18" s="972"/>
      <c r="D18" s="481" t="s">
        <v>853</v>
      </c>
      <c r="E18" s="482">
        <v>2</v>
      </c>
      <c r="F18" s="482">
        <v>1</v>
      </c>
      <c r="G18" s="482">
        <v>1</v>
      </c>
      <c r="H18" s="482">
        <v>2</v>
      </c>
      <c r="I18" s="482">
        <v>0</v>
      </c>
      <c r="J18" s="486">
        <f t="shared" si="0"/>
        <v>0</v>
      </c>
      <c r="K18" s="487">
        <v>118.57</v>
      </c>
      <c r="L18" s="975"/>
      <c r="M18" s="488">
        <f t="shared" si="1"/>
        <v>0</v>
      </c>
    </row>
    <row r="19" spans="1:13" ht="25.5">
      <c r="A19" s="970">
        <v>4</v>
      </c>
      <c r="B19" s="970" t="s">
        <v>854</v>
      </c>
      <c r="C19" s="972" t="s">
        <v>855</v>
      </c>
      <c r="D19" s="481" t="s">
        <v>856</v>
      </c>
      <c r="E19" s="482">
        <v>9</v>
      </c>
      <c r="F19" s="482">
        <v>2</v>
      </c>
      <c r="G19" s="482">
        <v>4</v>
      </c>
      <c r="H19" s="482">
        <v>36</v>
      </c>
      <c r="I19" s="482">
        <v>0</v>
      </c>
      <c r="J19" s="478">
        <f t="shared" si="0"/>
        <v>0</v>
      </c>
      <c r="K19" s="483">
        <v>45</v>
      </c>
      <c r="L19" s="974">
        <v>0</v>
      </c>
      <c r="M19" s="480">
        <f t="shared" si="1"/>
        <v>0</v>
      </c>
    </row>
    <row r="20" spans="1:13" ht="25.5">
      <c r="A20" s="970"/>
      <c r="B20" s="970"/>
      <c r="C20" s="972"/>
      <c r="D20" s="485" t="s">
        <v>845</v>
      </c>
      <c r="E20" s="482">
        <v>9</v>
      </c>
      <c r="F20" s="482">
        <v>2</v>
      </c>
      <c r="G20" s="482">
        <v>4</v>
      </c>
      <c r="H20" s="482">
        <v>20</v>
      </c>
      <c r="I20" s="482">
        <v>16</v>
      </c>
      <c r="J20" s="478">
        <f>E20*G20-H20+I20</f>
        <v>32</v>
      </c>
      <c r="K20" s="483">
        <v>379.26</v>
      </c>
      <c r="L20" s="974"/>
      <c r="M20" s="480">
        <f t="shared" si="1"/>
        <v>12136.32</v>
      </c>
    </row>
    <row r="21" spans="1:13" ht="25.5">
      <c r="A21" s="970"/>
      <c r="B21" s="970"/>
      <c r="C21" s="972"/>
      <c r="D21" s="485" t="s">
        <v>857</v>
      </c>
      <c r="E21" s="482">
        <v>3</v>
      </c>
      <c r="F21" s="482">
        <v>1</v>
      </c>
      <c r="G21" s="482">
        <v>4</v>
      </c>
      <c r="H21" s="482">
        <v>12</v>
      </c>
      <c r="I21" s="482">
        <v>0</v>
      </c>
      <c r="J21" s="478">
        <f t="shared" si="0"/>
        <v>0</v>
      </c>
      <c r="K21" s="483">
        <v>110</v>
      </c>
      <c r="L21" s="974"/>
      <c r="M21" s="480">
        <f t="shared" si="1"/>
        <v>0</v>
      </c>
    </row>
    <row r="22" spans="1:13" ht="51">
      <c r="A22" s="482">
        <v>5</v>
      </c>
      <c r="B22" s="482" t="s">
        <v>858</v>
      </c>
      <c r="C22" s="485" t="s">
        <v>859</v>
      </c>
      <c r="D22" s="485" t="s">
        <v>839</v>
      </c>
      <c r="E22" s="482">
        <v>2</v>
      </c>
      <c r="F22" s="482">
        <v>1</v>
      </c>
      <c r="G22" s="482">
        <v>8</v>
      </c>
      <c r="H22" s="482">
        <v>16</v>
      </c>
      <c r="I22" s="482">
        <v>8</v>
      </c>
      <c r="J22" s="478">
        <f t="shared" si="0"/>
        <v>8</v>
      </c>
      <c r="K22" s="483">
        <v>441</v>
      </c>
      <c r="L22" s="489">
        <v>0</v>
      </c>
      <c r="M22" s="480">
        <f t="shared" si="1"/>
        <v>3528</v>
      </c>
    </row>
    <row r="23" spans="1:13" ht="14.25">
      <c r="A23" s="976" t="s">
        <v>860</v>
      </c>
      <c r="B23" s="976"/>
      <c r="C23" s="976"/>
      <c r="D23" s="976"/>
      <c r="E23" s="976"/>
      <c r="F23" s="976"/>
      <c r="G23" s="976"/>
      <c r="H23" s="976"/>
      <c r="I23" s="976"/>
      <c r="J23" s="976"/>
      <c r="K23" s="976"/>
      <c r="L23" s="338"/>
      <c r="M23" s="490">
        <f>SUM(M6:M22)</f>
        <v>16364.369999999999</v>
      </c>
    </row>
    <row r="24" spans="1:13" ht="12.75">
      <c r="A24" s="335"/>
      <c r="B24" s="335"/>
      <c r="C24" s="491"/>
      <c r="D24" s="335"/>
      <c r="E24" s="335"/>
      <c r="F24" s="335"/>
      <c r="G24" s="335"/>
      <c r="H24" s="335"/>
      <c r="I24" s="335"/>
      <c r="J24" s="335"/>
      <c r="K24" s="335"/>
      <c r="L24" s="335"/>
      <c r="M24" s="492"/>
    </row>
    <row r="25" spans="1:13" ht="15.75">
      <c r="A25" s="962"/>
      <c r="B25" s="962"/>
      <c r="C25" s="962"/>
      <c r="D25" s="388"/>
      <c r="E25" s="934"/>
      <c r="F25" s="934"/>
      <c r="G25" s="934"/>
      <c r="H25" s="934"/>
      <c r="I25" s="934"/>
      <c r="J25" s="934"/>
      <c r="K25" s="435"/>
      <c r="L25" s="435"/>
      <c r="M25" s="435"/>
    </row>
  </sheetData>
  <sheetProtection/>
  <mergeCells count="33">
    <mergeCell ref="A19:A21"/>
    <mergeCell ref="B19:B21"/>
    <mergeCell ref="C19:C21"/>
    <mergeCell ref="L19:L21"/>
    <mergeCell ref="A23:K23"/>
    <mergeCell ref="A25:C25"/>
    <mergeCell ref="E25:J25"/>
    <mergeCell ref="A10:A16"/>
    <mergeCell ref="B10:B16"/>
    <mergeCell ref="C10:C16"/>
    <mergeCell ref="L10:L16"/>
    <mergeCell ref="A17:A18"/>
    <mergeCell ref="B17:B18"/>
    <mergeCell ref="C17:C18"/>
    <mergeCell ref="L17:L18"/>
    <mergeCell ref="H4:I4"/>
    <mergeCell ref="J4:J5"/>
    <mergeCell ref="K4:K5"/>
    <mergeCell ref="M4:M5"/>
    <mergeCell ref="A6:A9"/>
    <mergeCell ref="B6:B9"/>
    <mergeCell ref="C6:C9"/>
    <mergeCell ref="L6:L8"/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ГУО АКК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Черепова Л.С.</dc:creator>
  <cp:keywords/>
  <dc:description/>
  <cp:lastModifiedBy>Пользователь</cp:lastModifiedBy>
  <cp:lastPrinted>2017-08-22T08:59:42Z</cp:lastPrinted>
  <dcterms:created xsi:type="dcterms:W3CDTF">2005-04-07T08:21:25Z</dcterms:created>
  <dcterms:modified xsi:type="dcterms:W3CDTF">2017-10-26T05:14:26Z</dcterms:modified>
  <cp:category/>
  <cp:version/>
  <cp:contentType/>
  <cp:contentStatus/>
</cp:coreProperties>
</file>